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Carlos Almeida\Documents\CPAlmeida\CLIENTES\Telconet\Combinado Telconet &amp; Megadatos 2019\"/>
    </mc:Choice>
  </mc:AlternateContent>
  <xr:revisionPtr revIDLastSave="0" documentId="13_ncr:1_{69193841-462D-4424-A866-9B501E1D7BA4}" xr6:coauthVersionLast="45" xr6:coauthVersionMax="45" xr10:uidLastSave="{00000000-0000-0000-0000-000000000000}"/>
  <bookViews>
    <workbookView xWindow="-120" yWindow="-120" windowWidth="20730" windowHeight="11160" tabRatio="698" activeTab="5" xr2:uid="{00000000-000D-0000-FFFF-FFFF00000000}"/>
  </bookViews>
  <sheets>
    <sheet name="Indice" sheetId="10" r:id="rId1"/>
    <sheet name="BG " sheetId="1" r:id="rId2"/>
    <sheet name="ER" sheetId="3" r:id="rId3"/>
    <sheet name="EFE" sheetId="6" r:id="rId4"/>
    <sheet name="PAT" sheetId="4" r:id="rId5"/>
    <sheet name="AD" sheetId="5" r:id="rId6"/>
    <sheet name="Impuesto diferido" sheetId="11" r:id="rId7"/>
    <sheet name="Ratios" sheetId="7" r:id="rId8"/>
    <sheet name="PP&amp;E" sheetId="8" state="hidden" r:id="rId9"/>
    <sheet name="Impto diferido" sheetId="9" state="hidden" r:id="rId10"/>
  </sheets>
  <definedNames>
    <definedName name="_xlnm.Print_Area" localSheetId="5">AD!$A$1:$S$66</definedName>
    <definedName name="_xlnm.Print_Area" localSheetId="1">'BG '!$A$6:$T$73</definedName>
    <definedName name="_xlnm.Print_Area" localSheetId="3">EFE!$B$1:$V$73</definedName>
    <definedName name="_xlnm.Print_Area" localSheetId="2">ER!$A$1:$Y$39</definedName>
    <definedName name="_xlnm.Print_Area" localSheetId="4">PAT!$A$1:$J$152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7" l="1"/>
  <c r="H59" i="1"/>
  <c r="F59" i="1"/>
  <c r="F17" i="7" l="1"/>
  <c r="F8" i="7"/>
  <c r="F7" i="7" l="1"/>
  <c r="F11" i="7"/>
  <c r="F6" i="7"/>
  <c r="F24" i="11"/>
  <c r="G24" i="11"/>
  <c r="E24" i="11"/>
  <c r="I23" i="11"/>
  <c r="H23" i="11"/>
  <c r="F23" i="11"/>
  <c r="G23" i="11" s="1"/>
  <c r="E23" i="11"/>
  <c r="H6" i="11"/>
  <c r="H5" i="11"/>
  <c r="H7" i="11" s="1"/>
  <c r="H4" i="11"/>
  <c r="H3" i="11"/>
  <c r="G173" i="4" l="1"/>
  <c r="H173" i="4"/>
  <c r="F173" i="4"/>
  <c r="J168" i="4"/>
  <c r="H168" i="4"/>
  <c r="H170" i="4"/>
  <c r="H171" i="4"/>
  <c r="H172" i="4"/>
  <c r="F168" i="4"/>
  <c r="J36" i="4"/>
  <c r="H36" i="4"/>
  <c r="G37" i="4"/>
  <c r="I37" i="4"/>
  <c r="F37" i="4"/>
  <c r="G34" i="3" l="1"/>
  <c r="H62" i="5"/>
  <c r="G61" i="5"/>
  <c r="J51" i="4"/>
  <c r="J53" i="4"/>
  <c r="J22" i="4"/>
  <c r="G58" i="1"/>
  <c r="G46" i="1"/>
  <c r="G13" i="1"/>
  <c r="G42" i="1"/>
  <c r="G28" i="3"/>
  <c r="G8" i="3"/>
  <c r="G7" i="3"/>
  <c r="G19" i="5" l="1"/>
  <c r="F9" i="7" l="1"/>
  <c r="H51" i="4"/>
  <c r="F93" i="4"/>
  <c r="F135" i="4"/>
  <c r="F170" i="4"/>
  <c r="F169" i="4"/>
  <c r="H132" i="4"/>
  <c r="J132" i="4" s="1"/>
  <c r="H22" i="4"/>
  <c r="G28" i="5"/>
  <c r="D69" i="1"/>
  <c r="D58" i="1"/>
  <c r="F13" i="7" l="1"/>
  <c r="F29" i="7"/>
  <c r="F171" i="4"/>
  <c r="H42" i="5"/>
  <c r="G42" i="5"/>
  <c r="H37" i="5"/>
  <c r="G37" i="5"/>
  <c r="H23" i="5"/>
  <c r="I79" i="4"/>
  <c r="G170" i="4"/>
  <c r="J170" i="4" s="1"/>
  <c r="G169" i="4"/>
  <c r="H169" i="4" s="1"/>
  <c r="J169" i="4" s="1"/>
  <c r="I94" i="4"/>
  <c r="G93" i="4"/>
  <c r="H93" i="4" s="1"/>
  <c r="H134" i="4"/>
  <c r="J134" i="4" s="1"/>
  <c r="H133" i="4"/>
  <c r="J133" i="4" s="1"/>
  <c r="H131" i="4"/>
  <c r="J131" i="4" s="1"/>
  <c r="G135" i="4"/>
  <c r="H135" i="4" s="1"/>
  <c r="H53" i="4"/>
  <c r="I64" i="6"/>
  <c r="G64" i="6"/>
  <c r="I65" i="6"/>
  <c r="G65" i="6"/>
  <c r="E11" i="3"/>
  <c r="E45" i="1"/>
  <c r="E50" i="1" s="1"/>
  <c r="F47" i="1"/>
  <c r="H47" i="1" s="1"/>
  <c r="E14" i="1"/>
  <c r="E18" i="1" s="1"/>
  <c r="E27" i="1"/>
  <c r="F27" i="1" s="1"/>
  <c r="H27" i="1" s="1"/>
  <c r="H73" i="6"/>
  <c r="F73" i="6"/>
  <c r="G72" i="6"/>
  <c r="I72" i="6" s="1"/>
  <c r="H68" i="6"/>
  <c r="F68" i="6"/>
  <c r="E68" i="6"/>
  <c r="G67" i="6"/>
  <c r="I67" i="6" s="1"/>
  <c r="G66" i="6"/>
  <c r="I66" i="6" s="1"/>
  <c r="G63" i="6"/>
  <c r="I63" i="6" s="1"/>
  <c r="G62" i="6"/>
  <c r="I62" i="6" s="1"/>
  <c r="G61" i="6"/>
  <c r="I61" i="6" s="1"/>
  <c r="G60" i="6"/>
  <c r="F57" i="6"/>
  <c r="E57" i="6"/>
  <c r="G56" i="6"/>
  <c r="I56" i="6" s="1"/>
  <c r="I55" i="6"/>
  <c r="G54" i="6"/>
  <c r="I54" i="6" s="1"/>
  <c r="G53" i="6"/>
  <c r="G52" i="6"/>
  <c r="I52" i="6" s="1"/>
  <c r="G51" i="6"/>
  <c r="G50" i="6"/>
  <c r="I50" i="6" s="1"/>
  <c r="G49" i="6"/>
  <c r="G45" i="6"/>
  <c r="I45" i="6" s="1"/>
  <c r="G44" i="6"/>
  <c r="I44" i="6" s="1"/>
  <c r="G43" i="6"/>
  <c r="I43" i="6" s="1"/>
  <c r="G41" i="6"/>
  <c r="I41" i="6" s="1"/>
  <c r="G40" i="6"/>
  <c r="I40" i="6" s="1"/>
  <c r="G39" i="6"/>
  <c r="I39" i="6" s="1"/>
  <c r="G38" i="6"/>
  <c r="I38" i="6" s="1"/>
  <c r="G37" i="6"/>
  <c r="I37" i="6" s="1"/>
  <c r="G36" i="6"/>
  <c r="I36" i="6" s="1"/>
  <c r="G35" i="6"/>
  <c r="I35" i="6" s="1"/>
  <c r="G34" i="6"/>
  <c r="I34" i="6" s="1"/>
  <c r="G33" i="6"/>
  <c r="I33" i="6" s="1"/>
  <c r="G32" i="6"/>
  <c r="I32" i="6" s="1"/>
  <c r="G31" i="6"/>
  <c r="I31" i="6" s="1"/>
  <c r="G30" i="6"/>
  <c r="I30" i="6" s="1"/>
  <c r="G29" i="6"/>
  <c r="I29" i="6" s="1"/>
  <c r="G28" i="6"/>
  <c r="I28" i="6" s="1"/>
  <c r="G27" i="6"/>
  <c r="I27" i="6" s="1"/>
  <c r="G26" i="6"/>
  <c r="I26" i="6" s="1"/>
  <c r="G25" i="6"/>
  <c r="I25" i="6" s="1"/>
  <c r="F23" i="6"/>
  <c r="F42" i="6" s="1"/>
  <c r="F46" i="6" s="1"/>
  <c r="G21" i="6"/>
  <c r="I21" i="6" s="1"/>
  <c r="E23" i="6"/>
  <c r="E42" i="6" s="1"/>
  <c r="E46" i="6" s="1"/>
  <c r="G19" i="6"/>
  <c r="I19" i="6" s="1"/>
  <c r="G18" i="6"/>
  <c r="I18" i="6" s="1"/>
  <c r="G17" i="6"/>
  <c r="I17" i="6" s="1"/>
  <c r="G16" i="6"/>
  <c r="I16" i="6" s="1"/>
  <c r="G15" i="6"/>
  <c r="I15" i="6" s="1"/>
  <c r="G14" i="6"/>
  <c r="I14" i="6" s="1"/>
  <c r="G13" i="6"/>
  <c r="I13" i="6" s="1"/>
  <c r="G12" i="6"/>
  <c r="G11" i="6"/>
  <c r="I11" i="6" s="1"/>
  <c r="G10" i="6"/>
  <c r="I10" i="6" s="1"/>
  <c r="G8" i="6"/>
  <c r="I39" i="3"/>
  <c r="F38" i="3"/>
  <c r="H38" i="3" s="1"/>
  <c r="F34" i="3"/>
  <c r="H34" i="3" s="1"/>
  <c r="F31" i="3"/>
  <c r="H31" i="3" s="1"/>
  <c r="F28" i="3"/>
  <c r="H28" i="3" s="1"/>
  <c r="F27" i="3"/>
  <c r="H27" i="3" s="1"/>
  <c r="H26" i="3"/>
  <c r="G25" i="3"/>
  <c r="E25" i="3"/>
  <c r="D25" i="3"/>
  <c r="H24" i="3"/>
  <c r="F24" i="3"/>
  <c r="F23" i="3"/>
  <c r="H23" i="3" s="1"/>
  <c r="H22" i="3"/>
  <c r="F22" i="3"/>
  <c r="F21" i="3"/>
  <c r="H21" i="3" s="1"/>
  <c r="H20" i="3"/>
  <c r="F20" i="3"/>
  <c r="F19" i="3"/>
  <c r="H19" i="3" s="1"/>
  <c r="H18" i="3"/>
  <c r="F18" i="3"/>
  <c r="F17" i="3"/>
  <c r="H17" i="3" s="1"/>
  <c r="H16" i="3"/>
  <c r="F16" i="3"/>
  <c r="F15" i="3"/>
  <c r="H15" i="3" s="1"/>
  <c r="H14" i="3"/>
  <c r="F14" i="3"/>
  <c r="F13" i="3"/>
  <c r="H13" i="3" s="1"/>
  <c r="H12" i="3"/>
  <c r="F12" i="3"/>
  <c r="F11" i="3"/>
  <c r="H11" i="3" s="1"/>
  <c r="E9" i="3"/>
  <c r="D9" i="3"/>
  <c r="F8" i="3"/>
  <c r="H8" i="3" s="1"/>
  <c r="G9" i="3"/>
  <c r="G29" i="3" s="1"/>
  <c r="G32" i="3" s="1"/>
  <c r="G35" i="3" s="1"/>
  <c r="F7" i="3"/>
  <c r="F70" i="1"/>
  <c r="F69" i="1"/>
  <c r="F68" i="1"/>
  <c r="H68" i="1" s="1"/>
  <c r="E71" i="1"/>
  <c r="D71" i="1"/>
  <c r="E63" i="1"/>
  <c r="F62" i="1"/>
  <c r="H62" i="1" s="1"/>
  <c r="F61" i="1"/>
  <c r="H61" i="1" s="1"/>
  <c r="F60" i="1"/>
  <c r="H60" i="1" s="1"/>
  <c r="G63" i="1"/>
  <c r="D63" i="1"/>
  <c r="F57" i="1"/>
  <c r="H57" i="1" s="1"/>
  <c r="F56" i="1"/>
  <c r="H56" i="1" s="1"/>
  <c r="F54" i="1"/>
  <c r="H54" i="1" s="1"/>
  <c r="F53" i="1"/>
  <c r="D50" i="1"/>
  <c r="F49" i="1"/>
  <c r="F48" i="1"/>
  <c r="H48" i="1" s="1"/>
  <c r="F46" i="1"/>
  <c r="F45" i="1"/>
  <c r="H45" i="1" s="1"/>
  <c r="F44" i="1"/>
  <c r="H44" i="1" s="1"/>
  <c r="H43" i="1"/>
  <c r="F42" i="1"/>
  <c r="F41" i="1"/>
  <c r="H41" i="1" s="1"/>
  <c r="F39" i="1"/>
  <c r="H39" i="1" s="1"/>
  <c r="F38" i="1"/>
  <c r="E33" i="1"/>
  <c r="D33" i="1"/>
  <c r="F32" i="1"/>
  <c r="H32" i="1" s="1"/>
  <c r="F31" i="1"/>
  <c r="F30" i="1"/>
  <c r="H30" i="1" s="1"/>
  <c r="F29" i="1"/>
  <c r="H29" i="1" s="1"/>
  <c r="F26" i="1"/>
  <c r="H26" i="1" s="1"/>
  <c r="F25" i="1"/>
  <c r="F24" i="1"/>
  <c r="H24" i="1" s="1"/>
  <c r="F23" i="1"/>
  <c r="D18" i="1"/>
  <c r="F17" i="1"/>
  <c r="H17" i="1" s="1"/>
  <c r="F16" i="1"/>
  <c r="H16" i="1" s="1"/>
  <c r="F15" i="1"/>
  <c r="H15" i="1" s="1"/>
  <c r="F13" i="1"/>
  <c r="F12" i="1"/>
  <c r="H12" i="1" s="1"/>
  <c r="F10" i="1"/>
  <c r="H10" i="1" s="1"/>
  <c r="F9" i="1"/>
  <c r="H9" i="1" s="1"/>
  <c r="F8" i="1"/>
  <c r="H8" i="1" s="1"/>
  <c r="G39" i="3" l="1"/>
  <c r="I135" i="4"/>
  <c r="I171" i="4" s="1"/>
  <c r="J135" i="4"/>
  <c r="H8" i="6"/>
  <c r="I8" i="6" s="1"/>
  <c r="G50" i="1"/>
  <c r="G64" i="1" s="1"/>
  <c r="H46" i="1"/>
  <c r="H42" i="1"/>
  <c r="H49" i="1"/>
  <c r="F14" i="1"/>
  <c r="H14" i="1" s="1"/>
  <c r="H13" i="1"/>
  <c r="G171" i="4"/>
  <c r="J93" i="4"/>
  <c r="G68" i="6"/>
  <c r="F25" i="3"/>
  <c r="H25" i="3" s="1"/>
  <c r="F9" i="3"/>
  <c r="H69" i="1"/>
  <c r="F50" i="1"/>
  <c r="G57" i="6"/>
  <c r="I53" i="6"/>
  <c r="I12" i="6"/>
  <c r="F69" i="6"/>
  <c r="E69" i="6"/>
  <c r="E71" i="6" s="1"/>
  <c r="H23" i="6"/>
  <c r="H42" i="6" s="1"/>
  <c r="H46" i="6" s="1"/>
  <c r="G20" i="6"/>
  <c r="I20" i="6" s="1"/>
  <c r="I60" i="6"/>
  <c r="I68" i="6" s="1"/>
  <c r="H57" i="6"/>
  <c r="I49" i="6"/>
  <c r="E29" i="3"/>
  <c r="E32" i="3" s="1"/>
  <c r="E35" i="3" s="1"/>
  <c r="E39" i="3" s="1"/>
  <c r="H7" i="3"/>
  <c r="H9" i="3" s="1"/>
  <c r="D29" i="3"/>
  <c r="D32" i="3" s="1"/>
  <c r="D35" i="3" s="1"/>
  <c r="D39" i="3" s="1"/>
  <c r="E64" i="1"/>
  <c r="E72" i="1" s="1"/>
  <c r="H38" i="1"/>
  <c r="F33" i="1"/>
  <c r="H23" i="1"/>
  <c r="D34" i="1"/>
  <c r="E34" i="1"/>
  <c r="F18" i="1"/>
  <c r="D64" i="1"/>
  <c r="D72" i="1" s="1"/>
  <c r="G18" i="1"/>
  <c r="H53" i="1"/>
  <c r="F58" i="1"/>
  <c r="H58" i="1" s="1"/>
  <c r="F67" i="1"/>
  <c r="H19" i="5"/>
  <c r="G11" i="5"/>
  <c r="H26" i="5"/>
  <c r="F28" i="7" l="1"/>
  <c r="F30" i="7" s="1"/>
  <c r="F22" i="7"/>
  <c r="F24" i="7" s="1"/>
  <c r="J171" i="4"/>
  <c r="H69" i="6"/>
  <c r="G20" i="5"/>
  <c r="G26" i="5" s="1"/>
  <c r="H50" i="1"/>
  <c r="D73" i="1"/>
  <c r="E73" i="1"/>
  <c r="H18" i="1"/>
  <c r="I23" i="6"/>
  <c r="I42" i="6" s="1"/>
  <c r="I46" i="6" s="1"/>
  <c r="I69" i="6" s="1"/>
  <c r="I57" i="6"/>
  <c r="H29" i="3"/>
  <c r="H32" i="3" s="1"/>
  <c r="H35" i="3" s="1"/>
  <c r="H39" i="3" s="1"/>
  <c r="F29" i="3"/>
  <c r="F32" i="3" s="1"/>
  <c r="F35" i="3" s="1"/>
  <c r="F39" i="3" s="1"/>
  <c r="F34" i="1"/>
  <c r="E73" i="6"/>
  <c r="G71" i="6"/>
  <c r="G23" i="6"/>
  <c r="G42" i="6" s="1"/>
  <c r="G46" i="6" s="1"/>
  <c r="G69" i="6" s="1"/>
  <c r="H67" i="1"/>
  <c r="F71" i="1"/>
  <c r="H63" i="1"/>
  <c r="F63" i="1"/>
  <c r="F64" i="1" s="1"/>
  <c r="H11" i="5"/>
  <c r="H64" i="1" l="1"/>
  <c r="G73" i="6"/>
  <c r="I71" i="6"/>
  <c r="I73" i="6" s="1"/>
  <c r="F72" i="1"/>
  <c r="F73" i="1" s="1"/>
  <c r="G46" i="5"/>
  <c r="J23" i="5" l="1"/>
  <c r="M58" i="1"/>
  <c r="J58" i="1" l="1"/>
  <c r="I28" i="5" l="1"/>
  <c r="L23" i="6" l="1"/>
  <c r="L36" i="6"/>
  <c r="L27" i="6"/>
  <c r="G8" i="7" l="1"/>
  <c r="M56" i="5"/>
  <c r="N57" i="5" s="1"/>
  <c r="S58" i="1"/>
  <c r="P58" i="1"/>
  <c r="J25" i="3" l="1"/>
  <c r="F158" i="4" l="1"/>
  <c r="H165" i="4"/>
  <c r="J165" i="4" s="1"/>
  <c r="H164" i="4"/>
  <c r="J164" i="4" s="1"/>
  <c r="H163" i="4"/>
  <c r="J163" i="4" s="1"/>
  <c r="F120" i="4"/>
  <c r="K121" i="4"/>
  <c r="H162" i="4"/>
  <c r="J162" i="4" s="1"/>
  <c r="H91" i="4"/>
  <c r="H89" i="4"/>
  <c r="H127" i="4"/>
  <c r="J127" i="4" s="1"/>
  <c r="H128" i="4"/>
  <c r="H126" i="4"/>
  <c r="G119" i="4"/>
  <c r="H112" i="4" l="1"/>
  <c r="J112" i="4" s="1"/>
  <c r="H125" i="4" l="1"/>
  <c r="J125" i="4" s="1"/>
  <c r="J126" i="4"/>
  <c r="J128" i="4"/>
  <c r="L54" i="1" l="1"/>
  <c r="N54" i="1" s="1"/>
  <c r="K25" i="3"/>
  <c r="H47" i="4"/>
  <c r="J47" i="4" s="1"/>
  <c r="H20" i="4"/>
  <c r="H124" i="4"/>
  <c r="J124" i="4" s="1"/>
  <c r="L25" i="3"/>
  <c r="J20" i="4" l="1"/>
  <c r="R39" i="1"/>
  <c r="T39" i="1" s="1"/>
  <c r="L39" i="1"/>
  <c r="N39" i="1" s="1"/>
  <c r="I34" i="5" l="1"/>
  <c r="J40" i="5"/>
  <c r="J15" i="5"/>
  <c r="J9" i="5"/>
  <c r="H47" i="5" l="1"/>
  <c r="I4" i="11"/>
  <c r="F22" i="11" s="1"/>
  <c r="M28" i="3"/>
  <c r="T53" i="6"/>
  <c r="T12" i="6"/>
  <c r="N12" i="6"/>
  <c r="S7" i="3"/>
  <c r="I52" i="4"/>
  <c r="I35" i="4"/>
  <c r="G35" i="4"/>
  <c r="K68" i="1" s="1"/>
  <c r="I21" i="4"/>
  <c r="I23" i="4" s="1"/>
  <c r="Q68" i="1"/>
  <c r="M63" i="1"/>
  <c r="M49" i="1"/>
  <c r="M46" i="1"/>
  <c r="M42" i="1"/>
  <c r="S49" i="1"/>
  <c r="S46" i="1"/>
  <c r="S42" i="1"/>
  <c r="M13" i="1"/>
  <c r="S13" i="1"/>
  <c r="M61" i="5"/>
  <c r="N62" i="5" s="1"/>
  <c r="K39" i="5"/>
  <c r="N35" i="5"/>
  <c r="M34" i="5"/>
  <c r="N23" i="5"/>
  <c r="M21" i="5" s="1"/>
  <c r="L23" i="5"/>
  <c r="K15" i="5"/>
  <c r="S28" i="3" s="1"/>
  <c r="N9" i="5"/>
  <c r="L9" i="5"/>
  <c r="J42" i="5"/>
  <c r="I42" i="5"/>
  <c r="J37" i="5"/>
  <c r="I37" i="5"/>
  <c r="J19" i="5"/>
  <c r="I19" i="5"/>
  <c r="J11" i="5"/>
  <c r="I11" i="5"/>
  <c r="J91" i="4"/>
  <c r="F16" i="4"/>
  <c r="I63" i="4" l="1"/>
  <c r="M69" i="1" s="1"/>
  <c r="I54" i="4"/>
  <c r="S8" i="3"/>
  <c r="K45" i="5"/>
  <c r="P60" i="1"/>
  <c r="P57" i="1"/>
  <c r="P44" i="1"/>
  <c r="P42" i="1"/>
  <c r="P41" i="1"/>
  <c r="Q28" i="3"/>
  <c r="Q25" i="3"/>
  <c r="P25" i="3"/>
  <c r="S72" i="6"/>
  <c r="S66" i="6"/>
  <c r="S63" i="6"/>
  <c r="S62" i="6"/>
  <c r="S56" i="6"/>
  <c r="S54" i="6"/>
  <c r="S53" i="6"/>
  <c r="S52" i="6"/>
  <c r="S51" i="6"/>
  <c r="S50" i="6"/>
  <c r="S49" i="6"/>
  <c r="S45" i="6"/>
  <c r="S44" i="6"/>
  <c r="S43" i="6"/>
  <c r="S41" i="6"/>
  <c r="S40" i="6"/>
  <c r="S39" i="6"/>
  <c r="S38" i="6"/>
  <c r="S37" i="6"/>
  <c r="S36" i="6"/>
  <c r="S35" i="6"/>
  <c r="S34" i="6"/>
  <c r="S33" i="6"/>
  <c r="S32" i="6"/>
  <c r="S31" i="6"/>
  <c r="S30" i="6"/>
  <c r="S29" i="6"/>
  <c r="S28" i="6"/>
  <c r="S27" i="6"/>
  <c r="S26" i="6"/>
  <c r="S25" i="6"/>
  <c r="M10" i="6"/>
  <c r="M11" i="6"/>
  <c r="M12" i="6"/>
  <c r="M13" i="6"/>
  <c r="M14" i="6"/>
  <c r="M15" i="6"/>
  <c r="M16" i="6"/>
  <c r="M17" i="6"/>
  <c r="M18" i="6"/>
  <c r="M19" i="6"/>
  <c r="M20" i="6"/>
  <c r="M21" i="6"/>
  <c r="M22" i="6"/>
  <c r="Q20" i="6"/>
  <c r="Q8" i="6"/>
  <c r="I30" i="7"/>
  <c r="I22" i="7"/>
  <c r="I24" i="7" s="1"/>
  <c r="I9" i="7"/>
  <c r="I13" i="7" s="1"/>
  <c r="Q23" i="6" l="1"/>
  <c r="Q42" i="6" s="1"/>
  <c r="K14" i="11"/>
  <c r="J14" i="11"/>
  <c r="K13" i="11"/>
  <c r="J13" i="11"/>
  <c r="J11" i="11"/>
  <c r="J4" i="11"/>
  <c r="F21" i="11" s="1"/>
  <c r="K3" i="11"/>
  <c r="E20" i="11" s="1"/>
  <c r="J3" i="11"/>
  <c r="E21" i="11" s="1"/>
  <c r="G21" i="11" l="1"/>
  <c r="K15" i="11"/>
  <c r="P50" i="5" l="1"/>
  <c r="L27" i="3" l="1"/>
  <c r="N27" i="3" s="1"/>
  <c r="R27" i="3"/>
  <c r="T27" i="3" s="1"/>
  <c r="H153" i="4"/>
  <c r="J153" i="4" s="1"/>
  <c r="I45" i="4"/>
  <c r="H122" i="4"/>
  <c r="J122" i="4" s="1"/>
  <c r="H121" i="4"/>
  <c r="H120" i="4"/>
  <c r="J120" i="4" s="1"/>
  <c r="H119" i="4"/>
  <c r="J119" i="4" s="1"/>
  <c r="H118" i="4"/>
  <c r="J118" i="4" s="1"/>
  <c r="H158" i="4"/>
  <c r="J158" i="4" s="1"/>
  <c r="H159" i="4"/>
  <c r="J159" i="4" s="1"/>
  <c r="H160" i="4"/>
  <c r="L42" i="5"/>
  <c r="K42" i="5"/>
  <c r="L37" i="5"/>
  <c r="K37" i="5"/>
  <c r="K26" i="5"/>
  <c r="L26" i="5"/>
  <c r="L19" i="5"/>
  <c r="K11" i="5"/>
  <c r="L11" i="5"/>
  <c r="K19" i="5" l="1"/>
  <c r="J89" i="4"/>
  <c r="H49" i="4"/>
  <c r="J49" i="4" s="1"/>
  <c r="H33" i="4"/>
  <c r="J33" i="4" s="1"/>
  <c r="H18" i="4"/>
  <c r="J18" i="4" s="1"/>
  <c r="H17" i="4"/>
  <c r="J17" i="4" s="1"/>
  <c r="M72" i="6"/>
  <c r="M67" i="6"/>
  <c r="M66" i="6"/>
  <c r="M63" i="6"/>
  <c r="M62" i="6"/>
  <c r="M61" i="6"/>
  <c r="M60" i="6"/>
  <c r="M59" i="6"/>
  <c r="M56" i="6"/>
  <c r="M54" i="6"/>
  <c r="M53" i="6"/>
  <c r="M52" i="6"/>
  <c r="M51" i="6"/>
  <c r="M50" i="6"/>
  <c r="M49" i="6"/>
  <c r="M45" i="6"/>
  <c r="M44" i="6"/>
  <c r="M43" i="6"/>
  <c r="M41" i="6"/>
  <c r="M40" i="6"/>
  <c r="M39" i="6"/>
  <c r="M38" i="6"/>
  <c r="M37" i="6"/>
  <c r="M36" i="6"/>
  <c r="M35" i="6"/>
  <c r="M34" i="6"/>
  <c r="M33" i="6"/>
  <c r="M32" i="6"/>
  <c r="M31" i="6"/>
  <c r="M30" i="6"/>
  <c r="M29" i="6"/>
  <c r="M28" i="6"/>
  <c r="M27" i="6"/>
  <c r="M26" i="6"/>
  <c r="M25" i="6"/>
  <c r="L28" i="3"/>
  <c r="L8" i="3"/>
  <c r="L7" i="3"/>
  <c r="L31" i="3"/>
  <c r="L34" i="3"/>
  <c r="L38" i="3"/>
  <c r="N43" i="1"/>
  <c r="L17" i="1"/>
  <c r="N17" i="1" s="1"/>
  <c r="L16" i="1"/>
  <c r="N16" i="1" s="1"/>
  <c r="L15" i="1"/>
  <c r="N15" i="1" s="1"/>
  <c r="L14" i="1"/>
  <c r="N14" i="1" s="1"/>
  <c r="L13" i="1"/>
  <c r="N13" i="1" s="1"/>
  <c r="L12" i="1"/>
  <c r="N12" i="1" s="1"/>
  <c r="L10" i="1"/>
  <c r="N10" i="1" s="1"/>
  <c r="L9" i="1"/>
  <c r="N9" i="1" s="1"/>
  <c r="L8" i="1"/>
  <c r="N8" i="1" s="1"/>
  <c r="L27" i="1"/>
  <c r="N27" i="1" s="1"/>
  <c r="L26" i="1"/>
  <c r="N26" i="1" s="1"/>
  <c r="L25" i="1"/>
  <c r="L24" i="1"/>
  <c r="N24" i="1" s="1"/>
  <c r="L23" i="1"/>
  <c r="N23" i="1" s="1"/>
  <c r="L32" i="1"/>
  <c r="N32" i="1" s="1"/>
  <c r="L31" i="1"/>
  <c r="L30" i="1"/>
  <c r="N30" i="1" s="1"/>
  <c r="L29" i="1"/>
  <c r="N29" i="1" s="1"/>
  <c r="L38" i="1"/>
  <c r="N38" i="1" s="1"/>
  <c r="G20" i="7" s="1"/>
  <c r="L49" i="1"/>
  <c r="N49" i="1" s="1"/>
  <c r="L48" i="1"/>
  <c r="N48" i="1" s="1"/>
  <c r="L46" i="1"/>
  <c r="N46" i="1" s="1"/>
  <c r="L45" i="1"/>
  <c r="N45" i="1" s="1"/>
  <c r="L62" i="1"/>
  <c r="N62" i="1" s="1"/>
  <c r="L61" i="1"/>
  <c r="N61" i="1" s="1"/>
  <c r="L56" i="1"/>
  <c r="N56" i="1" s="1"/>
  <c r="L53" i="1"/>
  <c r="N53" i="1" l="1"/>
  <c r="L57" i="1"/>
  <c r="N57" i="1" s="1"/>
  <c r="L58" i="1"/>
  <c r="N58" i="1" s="1"/>
  <c r="L60" i="1"/>
  <c r="N60" i="1" s="1"/>
  <c r="L44" i="1"/>
  <c r="N44" i="1" s="1"/>
  <c r="L42" i="1"/>
  <c r="N42" i="1" s="1"/>
  <c r="L41" i="1"/>
  <c r="N41" i="1" s="1"/>
  <c r="L63" i="1" l="1"/>
  <c r="N63" i="1"/>
  <c r="G28" i="7"/>
  <c r="N73" i="6" l="1"/>
  <c r="O72" i="6"/>
  <c r="N68" i="6"/>
  <c r="L68" i="6"/>
  <c r="K68" i="6"/>
  <c r="O67" i="6"/>
  <c r="O66" i="6"/>
  <c r="O63" i="6"/>
  <c r="O62" i="6"/>
  <c r="O61" i="6"/>
  <c r="L57" i="6"/>
  <c r="K57" i="6"/>
  <c r="O56" i="6"/>
  <c r="O55" i="6"/>
  <c r="O54" i="6"/>
  <c r="O52" i="6"/>
  <c r="O50" i="6"/>
  <c r="O49" i="6"/>
  <c r="O45" i="6"/>
  <c r="O44" i="6"/>
  <c r="O43" i="6"/>
  <c r="O41" i="6"/>
  <c r="O40" i="6"/>
  <c r="O39" i="6"/>
  <c r="O38" i="6"/>
  <c r="O37" i="6"/>
  <c r="O36" i="6"/>
  <c r="O35" i="6"/>
  <c r="O34" i="6"/>
  <c r="O33" i="6"/>
  <c r="O32" i="6"/>
  <c r="O31" i="6"/>
  <c r="O30" i="6"/>
  <c r="O29" i="6"/>
  <c r="O28" i="6"/>
  <c r="O27" i="6"/>
  <c r="O26" i="6"/>
  <c r="O25" i="6"/>
  <c r="L42" i="6"/>
  <c r="L46" i="6" s="1"/>
  <c r="O21" i="6"/>
  <c r="O20" i="6"/>
  <c r="O19" i="6"/>
  <c r="O18" i="6"/>
  <c r="O17" i="6"/>
  <c r="O16" i="6"/>
  <c r="O15" i="6"/>
  <c r="O14" i="6"/>
  <c r="O13" i="6"/>
  <c r="O12" i="6"/>
  <c r="O11" i="6"/>
  <c r="O10" i="6"/>
  <c r="M68" i="6" l="1"/>
  <c r="O60" i="6"/>
  <c r="O68" i="6" s="1"/>
  <c r="L69" i="6"/>
  <c r="M57" i="6"/>
  <c r="N38" i="3"/>
  <c r="N31" i="3"/>
  <c r="N28" i="3"/>
  <c r="N26" i="3"/>
  <c r="N25" i="3"/>
  <c r="N24" i="3"/>
  <c r="N23" i="3"/>
  <c r="N22" i="3"/>
  <c r="N21" i="3"/>
  <c r="N20" i="3"/>
  <c r="N19" i="3"/>
  <c r="N18" i="3"/>
  <c r="N17" i="3"/>
  <c r="N16" i="3"/>
  <c r="N15" i="3"/>
  <c r="N14" i="3"/>
  <c r="N13" i="3"/>
  <c r="N12" i="3"/>
  <c r="N11" i="3"/>
  <c r="K9" i="3"/>
  <c r="K29" i="3" s="1"/>
  <c r="K32" i="3" s="1"/>
  <c r="K35" i="3" s="1"/>
  <c r="J9" i="3"/>
  <c r="J29" i="3" s="1"/>
  <c r="L9" i="3"/>
  <c r="N18" i="1"/>
  <c r="M18" i="1"/>
  <c r="L18" i="1"/>
  <c r="K18" i="1"/>
  <c r="J18" i="1"/>
  <c r="L33" i="1"/>
  <c r="K33" i="1"/>
  <c r="J33" i="1"/>
  <c r="N50" i="1"/>
  <c r="M50" i="1"/>
  <c r="L50" i="1"/>
  <c r="K50" i="1"/>
  <c r="J50" i="1"/>
  <c r="K63" i="1"/>
  <c r="J63" i="1"/>
  <c r="L71" i="6" l="1"/>
  <c r="L73" i="6" s="1"/>
  <c r="K39" i="3"/>
  <c r="G129" i="4"/>
  <c r="G166" i="4" s="1"/>
  <c r="G11" i="7"/>
  <c r="J32" i="3"/>
  <c r="L29" i="3"/>
  <c r="L32" i="3" s="1"/>
  <c r="L35" i="3" s="1"/>
  <c r="L39" i="3" s="1"/>
  <c r="M64" i="1"/>
  <c r="N64" i="1"/>
  <c r="L34" i="1"/>
  <c r="L64" i="1"/>
  <c r="K64" i="1"/>
  <c r="K34" i="1"/>
  <c r="J64" i="1"/>
  <c r="J34" i="1"/>
  <c r="H155" i="4"/>
  <c r="J155" i="4" s="1"/>
  <c r="J35" i="3" l="1"/>
  <c r="K8" i="6"/>
  <c r="F90" i="4"/>
  <c r="G156" i="4"/>
  <c r="H156" i="4" s="1"/>
  <c r="G151" i="4"/>
  <c r="F151" i="4"/>
  <c r="G143" i="4"/>
  <c r="I143" i="4"/>
  <c r="F143" i="4"/>
  <c r="E5" i="9"/>
  <c r="E4" i="9"/>
  <c r="E3" i="9"/>
  <c r="F92" i="4" l="1"/>
  <c r="F94" i="4" s="1"/>
  <c r="K23" i="6"/>
  <c r="K42" i="6" s="1"/>
  <c r="K46" i="6" s="1"/>
  <c r="K69" i="6" s="1"/>
  <c r="K71" i="6" s="1"/>
  <c r="M8" i="6"/>
  <c r="J39" i="3"/>
  <c r="F129" i="4"/>
  <c r="F166" i="4" s="1"/>
  <c r="R31" i="1"/>
  <c r="O33" i="5"/>
  <c r="M32" i="5" s="1"/>
  <c r="S33" i="5"/>
  <c r="G18" i="8"/>
  <c r="M23" i="6" l="1"/>
  <c r="M42" i="6" s="1"/>
  <c r="M46" i="6" s="1"/>
  <c r="M69" i="6" s="1"/>
  <c r="M70" i="6" s="1"/>
  <c r="M71" i="6"/>
  <c r="K73" i="6"/>
  <c r="H129" i="4"/>
  <c r="H166" i="4" s="1"/>
  <c r="K5" i="11"/>
  <c r="M73" i="6" l="1"/>
  <c r="O71" i="6"/>
  <c r="O73" i="6" s="1"/>
  <c r="H20" i="11"/>
  <c r="G7" i="8"/>
  <c r="G8" i="8"/>
  <c r="G9" i="8"/>
  <c r="G10" i="8"/>
  <c r="G11" i="8"/>
  <c r="G12" i="8"/>
  <c r="G13" i="8"/>
  <c r="G14" i="8"/>
  <c r="G15" i="8"/>
  <c r="G16" i="8"/>
  <c r="G17" i="8"/>
  <c r="E21" i="8"/>
  <c r="F21" i="8"/>
  <c r="G21" i="8"/>
  <c r="H21" i="8"/>
  <c r="I21" i="8"/>
  <c r="J21" i="8"/>
  <c r="K21" i="8"/>
  <c r="L21" i="8"/>
  <c r="M21" i="8"/>
  <c r="N21" i="8"/>
  <c r="D21" i="8"/>
  <c r="I18" i="8"/>
  <c r="H18" i="8"/>
  <c r="J18" i="8" s="1"/>
  <c r="M39" i="5" s="1"/>
  <c r="K47" i="5" l="1"/>
  <c r="N40" i="5"/>
  <c r="K4" i="11" s="1"/>
  <c r="O21" i="8"/>
  <c r="G6" i="8" s="1"/>
  <c r="R58" i="1"/>
  <c r="T58" i="1" s="1"/>
  <c r="R56" i="1"/>
  <c r="T56" i="1" s="1"/>
  <c r="Q33" i="1"/>
  <c r="F20" i="11" l="1"/>
  <c r="K7" i="11"/>
  <c r="S57" i="1"/>
  <c r="U39" i="3"/>
  <c r="T26" i="3"/>
  <c r="R11" i="3"/>
  <c r="T11" i="3" s="1"/>
  <c r="R8" i="3"/>
  <c r="R7" i="3"/>
  <c r="M42" i="5"/>
  <c r="N42" i="5"/>
  <c r="H116" i="4"/>
  <c r="H115" i="4"/>
  <c r="J115" i="4" s="1"/>
  <c r="H114" i="4"/>
  <c r="H110" i="4"/>
  <c r="H150" i="4"/>
  <c r="H108" i="4"/>
  <c r="J108" i="4" s="1"/>
  <c r="H107" i="4"/>
  <c r="J107" i="4" s="1"/>
  <c r="H104" i="4"/>
  <c r="H143" i="4" s="1"/>
  <c r="H101" i="4"/>
  <c r="H106" i="4"/>
  <c r="J106" i="4" s="1"/>
  <c r="H100" i="4"/>
  <c r="J100" i="4" s="1"/>
  <c r="H103" i="4"/>
  <c r="G99" i="4"/>
  <c r="G102" i="4" s="1"/>
  <c r="G20" i="11" l="1"/>
  <c r="I20" i="11" s="1"/>
  <c r="J150" i="4"/>
  <c r="J104" i="4"/>
  <c r="J143" i="4" s="1"/>
  <c r="J103" i="4"/>
  <c r="G105" i="4"/>
  <c r="S50" i="1"/>
  <c r="R9" i="3"/>
  <c r="T20" i="1"/>
  <c r="S17" i="6"/>
  <c r="U17" i="6" s="1"/>
  <c r="S11" i="6"/>
  <c r="U11" i="6" s="1"/>
  <c r="S12" i="6"/>
  <c r="U12" i="6" s="1"/>
  <c r="S13" i="6"/>
  <c r="U13" i="6" s="1"/>
  <c r="J87" i="4"/>
  <c r="H46" i="4"/>
  <c r="J46" i="4" s="1"/>
  <c r="I48" i="4"/>
  <c r="H15" i="4"/>
  <c r="J15" i="4" s="1"/>
  <c r="I16" i="4"/>
  <c r="B109" i="4"/>
  <c r="N37" i="5"/>
  <c r="N19" i="5"/>
  <c r="M11" i="5"/>
  <c r="R49" i="1"/>
  <c r="T49" i="1" s="1"/>
  <c r="R48" i="1"/>
  <c r="T48" i="1" s="1"/>
  <c r="R46" i="1"/>
  <c r="T46" i="1" s="1"/>
  <c r="R45" i="1"/>
  <c r="T45" i="1" s="1"/>
  <c r="R44" i="1"/>
  <c r="T44" i="1" s="1"/>
  <c r="R43" i="1"/>
  <c r="T43" i="1" s="1"/>
  <c r="R42" i="1"/>
  <c r="T42" i="1" s="1"/>
  <c r="R41" i="1"/>
  <c r="T41" i="1" s="1"/>
  <c r="R38" i="1"/>
  <c r="T38" i="1" s="1"/>
  <c r="H20" i="7" s="1"/>
  <c r="N11" i="5" l="1"/>
  <c r="H28" i="7"/>
  <c r="G22" i="7"/>
  <c r="T50" i="1"/>
  <c r="O14" i="5"/>
  <c r="M16" i="5" s="1"/>
  <c r="M14" i="5" s="1"/>
  <c r="Q57" i="6"/>
  <c r="P63" i="1"/>
  <c r="P50" i="1"/>
  <c r="P33" i="1"/>
  <c r="R32" i="1"/>
  <c r="T32" i="1" s="1"/>
  <c r="R24" i="1"/>
  <c r="T24" i="1" s="1"/>
  <c r="R25" i="1"/>
  <c r="R26" i="1"/>
  <c r="T26" i="1" s="1"/>
  <c r="R27" i="1"/>
  <c r="T27" i="1" s="1"/>
  <c r="R28" i="1"/>
  <c r="T28" i="1" s="1"/>
  <c r="R29" i="1"/>
  <c r="T29" i="1" s="1"/>
  <c r="R30" i="1"/>
  <c r="T30" i="1" s="1"/>
  <c r="R23" i="1"/>
  <c r="R9" i="1"/>
  <c r="T9" i="1" s="1"/>
  <c r="R10" i="1"/>
  <c r="T10" i="1" s="1"/>
  <c r="R11" i="1"/>
  <c r="R12" i="1"/>
  <c r="T12" i="1" s="1"/>
  <c r="R13" i="1"/>
  <c r="T13" i="1" s="1"/>
  <c r="R14" i="1"/>
  <c r="T14" i="1" s="1"/>
  <c r="R15" i="1"/>
  <c r="T15" i="1" s="1"/>
  <c r="R16" i="1"/>
  <c r="R17" i="1"/>
  <c r="T17" i="1" s="1"/>
  <c r="R8" i="1"/>
  <c r="T8" i="1" s="1"/>
  <c r="P18" i="1"/>
  <c r="Q50" i="1"/>
  <c r="G111" i="4"/>
  <c r="H84" i="4"/>
  <c r="J84" i="4" s="1"/>
  <c r="H83" i="4"/>
  <c r="G86" i="4"/>
  <c r="O8" i="5"/>
  <c r="R73" i="6"/>
  <c r="R23" i="6"/>
  <c r="P9" i="3"/>
  <c r="Q9" i="3"/>
  <c r="R12" i="3"/>
  <c r="T12" i="3" s="1"/>
  <c r="R13" i="3"/>
  <c r="T13" i="3" s="1"/>
  <c r="R14" i="3"/>
  <c r="T14" i="3" s="1"/>
  <c r="R15" i="3"/>
  <c r="T15" i="3" s="1"/>
  <c r="R16" i="3"/>
  <c r="T16" i="3" s="1"/>
  <c r="R17" i="3"/>
  <c r="T17" i="3" s="1"/>
  <c r="R18" i="3"/>
  <c r="T18" i="3" s="1"/>
  <c r="R19" i="3"/>
  <c r="T19" i="3" s="1"/>
  <c r="R20" i="3"/>
  <c r="T20" i="3" s="1"/>
  <c r="R21" i="3"/>
  <c r="T21" i="3" s="1"/>
  <c r="R22" i="3"/>
  <c r="T22" i="3" s="1"/>
  <c r="R23" i="3"/>
  <c r="T23" i="3" s="1"/>
  <c r="S25" i="3"/>
  <c r="R28" i="3"/>
  <c r="R31" i="3"/>
  <c r="R34" i="3"/>
  <c r="R38" i="3"/>
  <c r="Q18" i="1"/>
  <c r="Q34" i="1" s="1"/>
  <c r="G113" i="4" l="1"/>
  <c r="P29" i="3"/>
  <c r="P32" i="3" s="1"/>
  <c r="P64" i="1"/>
  <c r="Q29" i="3"/>
  <c r="Q32" i="3" s="1"/>
  <c r="G88" i="4"/>
  <c r="R18" i="1"/>
  <c r="R33" i="1"/>
  <c r="T23" i="1"/>
  <c r="R50" i="1"/>
  <c r="P34" i="1"/>
  <c r="R34" i="1" s="1"/>
  <c r="R24" i="3"/>
  <c r="T24" i="3" s="1"/>
  <c r="G90" i="4" l="1"/>
  <c r="H88" i="4"/>
  <c r="G117" i="4"/>
  <c r="M69" i="5"/>
  <c r="M19" i="5"/>
  <c r="P35" i="3"/>
  <c r="P39" i="3" s="1"/>
  <c r="R25" i="3"/>
  <c r="Q35" i="3"/>
  <c r="Q39" i="3" s="1"/>
  <c r="G92" i="4" l="1"/>
  <c r="H90" i="4"/>
  <c r="G123" i="4"/>
  <c r="G130" i="4" s="1"/>
  <c r="G136" i="4" s="1"/>
  <c r="T25" i="3"/>
  <c r="R29" i="3"/>
  <c r="S54" i="5"/>
  <c r="R54" i="5"/>
  <c r="P52" i="5"/>
  <c r="N52" i="5" s="1"/>
  <c r="S23" i="5"/>
  <c r="P23" i="5"/>
  <c r="S8" i="5"/>
  <c r="H92" i="4" l="1"/>
  <c r="H94" i="4" s="1"/>
  <c r="G94" i="4"/>
  <c r="L52" i="5"/>
  <c r="M44" i="5"/>
  <c r="O69" i="5"/>
  <c r="M37" i="5"/>
  <c r="S16" i="1"/>
  <c r="R32" i="3"/>
  <c r="R35" i="3" s="1"/>
  <c r="R39" i="3" s="1"/>
  <c r="T73" i="6"/>
  <c r="U72" i="6"/>
  <c r="T68" i="6"/>
  <c r="S67" i="6"/>
  <c r="U67" i="6" s="1"/>
  <c r="U63" i="6"/>
  <c r="U62" i="6"/>
  <c r="S61" i="6"/>
  <c r="U61" i="6" s="1"/>
  <c r="S60" i="6"/>
  <c r="U60" i="6" s="1"/>
  <c r="T57" i="6"/>
  <c r="U56" i="6"/>
  <c r="U55" i="6"/>
  <c r="U54" i="6"/>
  <c r="U53" i="6"/>
  <c r="U52" i="6"/>
  <c r="U50" i="6"/>
  <c r="U49" i="6"/>
  <c r="U45" i="6"/>
  <c r="U44" i="6"/>
  <c r="U43" i="6"/>
  <c r="U41" i="6"/>
  <c r="U40" i="6"/>
  <c r="U39" i="6"/>
  <c r="U38" i="6"/>
  <c r="U37" i="6"/>
  <c r="U36" i="6"/>
  <c r="U35" i="6"/>
  <c r="U34" i="6"/>
  <c r="U33" i="6"/>
  <c r="U32" i="6"/>
  <c r="U31" i="6"/>
  <c r="U30" i="6"/>
  <c r="U29" i="6"/>
  <c r="U28" i="6"/>
  <c r="U27" i="6"/>
  <c r="U26" i="6"/>
  <c r="U25" i="6"/>
  <c r="S21" i="6"/>
  <c r="U21" i="6" s="1"/>
  <c r="S20" i="6"/>
  <c r="U20" i="6" s="1"/>
  <c r="S19" i="6"/>
  <c r="U19" i="6" s="1"/>
  <c r="S18" i="6"/>
  <c r="U18" i="6" s="1"/>
  <c r="S16" i="6"/>
  <c r="U16" i="6" s="1"/>
  <c r="H8" i="7" s="1"/>
  <c r="S15" i="6"/>
  <c r="U15" i="6" s="1"/>
  <c r="S14" i="6"/>
  <c r="U14" i="6" s="1"/>
  <c r="S10" i="6"/>
  <c r="U10" i="6" s="1"/>
  <c r="S8" i="6"/>
  <c r="S63" i="1"/>
  <c r="S64" i="1" s="1"/>
  <c r="T38" i="3"/>
  <c r="T31" i="3"/>
  <c r="T28" i="3"/>
  <c r="R62" i="1"/>
  <c r="T62" i="1" s="1"/>
  <c r="R61" i="1"/>
  <c r="T61" i="1" s="1"/>
  <c r="R60" i="1"/>
  <c r="T60" i="1" s="1"/>
  <c r="R57" i="1"/>
  <c r="T57" i="1" s="1"/>
  <c r="R53" i="1"/>
  <c r="T53" i="1" s="1"/>
  <c r="K44" i="5" l="1"/>
  <c r="I44" i="5" s="1"/>
  <c r="S25" i="1"/>
  <c r="M68" i="5"/>
  <c r="E19" i="11"/>
  <c r="U66" i="6"/>
  <c r="U68" i="6" s="1"/>
  <c r="H22" i="7"/>
  <c r="T63" i="1"/>
  <c r="T64" i="1" s="1"/>
  <c r="S18" i="1"/>
  <c r="T16" i="1"/>
  <c r="T18" i="1" s="1"/>
  <c r="N26" i="5"/>
  <c r="H11" i="7"/>
  <c r="N54" i="5"/>
  <c r="S23" i="6"/>
  <c r="S42" i="6" s="1"/>
  <c r="S46" i="6" s="1"/>
  <c r="S68" i="6"/>
  <c r="K22" i="7"/>
  <c r="U57" i="6"/>
  <c r="S57" i="6"/>
  <c r="H10" i="4"/>
  <c r="J10" i="4" s="1"/>
  <c r="H11" i="4"/>
  <c r="J11" i="4" s="1"/>
  <c r="H12" i="4"/>
  <c r="J12" i="4" s="1"/>
  <c r="H13" i="4"/>
  <c r="J13" i="4" s="1"/>
  <c r="H26" i="4"/>
  <c r="J26" i="4" s="1"/>
  <c r="H27" i="4"/>
  <c r="J27" i="4" s="1"/>
  <c r="H29" i="4"/>
  <c r="J29" i="4" s="1"/>
  <c r="H30" i="4"/>
  <c r="J30" i="4" s="1"/>
  <c r="H40" i="4"/>
  <c r="J40" i="4" s="1"/>
  <c r="H41" i="4"/>
  <c r="J41" i="4" s="1"/>
  <c r="H43" i="4"/>
  <c r="J43" i="4" s="1"/>
  <c r="H56" i="4"/>
  <c r="H57" i="4"/>
  <c r="J57" i="4" s="1"/>
  <c r="H64" i="4"/>
  <c r="H65" i="4"/>
  <c r="H66" i="4"/>
  <c r="J66" i="4" s="1"/>
  <c r="H73" i="4"/>
  <c r="H74" i="4"/>
  <c r="J74" i="4" s="1"/>
  <c r="H80" i="4"/>
  <c r="H81" i="4"/>
  <c r="H85" i="4"/>
  <c r="H96" i="4"/>
  <c r="H97" i="4"/>
  <c r="H98" i="4"/>
  <c r="J114" i="4"/>
  <c r="H146" i="4"/>
  <c r="J146" i="4" s="1"/>
  <c r="H147" i="4"/>
  <c r="J147" i="4" s="1"/>
  <c r="H148" i="4"/>
  <c r="J148" i="4" s="1"/>
  <c r="H149" i="4"/>
  <c r="J149" i="4" s="1"/>
  <c r="H8" i="4"/>
  <c r="J8" i="4" s="1"/>
  <c r="G139" i="4"/>
  <c r="G142" i="4" s="1"/>
  <c r="G144" i="4" s="1"/>
  <c r="G152" i="4" s="1"/>
  <c r="H86" i="4"/>
  <c r="G75" i="4"/>
  <c r="G67" i="4"/>
  <c r="G58" i="4"/>
  <c r="G59" i="4" s="1"/>
  <c r="G60" i="4" s="1"/>
  <c r="G61" i="4" s="1"/>
  <c r="G62" i="4" s="1"/>
  <c r="H62" i="4" s="1"/>
  <c r="J62" i="4" s="1"/>
  <c r="G42" i="4"/>
  <c r="G44" i="4" s="1"/>
  <c r="G9" i="4"/>
  <c r="G14" i="4" s="1"/>
  <c r="F145" i="4"/>
  <c r="B145" i="4"/>
  <c r="F141" i="4"/>
  <c r="F139" i="4"/>
  <c r="F109" i="4"/>
  <c r="H109" i="4" s="1"/>
  <c r="J109" i="4" s="1"/>
  <c r="F99" i="4"/>
  <c r="F102" i="4" s="1"/>
  <c r="F75" i="4"/>
  <c r="F67" i="4"/>
  <c r="F58" i="4"/>
  <c r="F59" i="4" s="1"/>
  <c r="F60" i="4" s="1"/>
  <c r="F61" i="4" s="1"/>
  <c r="F62" i="4" s="1"/>
  <c r="F42" i="4"/>
  <c r="F44" i="4" s="1"/>
  <c r="F28" i="4"/>
  <c r="F31" i="4" s="1"/>
  <c r="R68" i="6"/>
  <c r="R57" i="6"/>
  <c r="R42" i="6"/>
  <c r="R46" i="6" s="1"/>
  <c r="Q68" i="6"/>
  <c r="Q46" i="6"/>
  <c r="K61" i="5" l="1"/>
  <c r="I45" i="5" s="1"/>
  <c r="T25" i="1"/>
  <c r="H61" i="4"/>
  <c r="G16" i="4"/>
  <c r="G19" i="4" s="1"/>
  <c r="G19" i="11"/>
  <c r="L54" i="5"/>
  <c r="G45" i="4"/>
  <c r="G48" i="4" s="1"/>
  <c r="G50" i="4" s="1"/>
  <c r="F48" i="4"/>
  <c r="F50" i="4" s="1"/>
  <c r="F45" i="4"/>
  <c r="G154" i="4"/>
  <c r="G157" i="4" s="1"/>
  <c r="G161" i="4" s="1"/>
  <c r="G167" i="4" s="1"/>
  <c r="G172" i="4" s="1"/>
  <c r="H60" i="4"/>
  <c r="J60" i="4" s="1"/>
  <c r="Q69" i="6"/>
  <c r="Q71" i="6" s="1"/>
  <c r="N66" i="5"/>
  <c r="J85" i="4"/>
  <c r="H151" i="4"/>
  <c r="H31" i="4"/>
  <c r="J31" i="4" s="1"/>
  <c r="F32" i="4"/>
  <c r="H141" i="4"/>
  <c r="F76" i="4"/>
  <c r="F77" i="4" s="1"/>
  <c r="F78" i="4" s="1"/>
  <c r="F79" i="4" s="1"/>
  <c r="G76" i="4"/>
  <c r="F68" i="4"/>
  <c r="F69" i="4" s="1"/>
  <c r="F105" i="4"/>
  <c r="G68" i="4"/>
  <c r="G69" i="4" s="1"/>
  <c r="M26" i="5"/>
  <c r="M70" i="5"/>
  <c r="I99" i="4"/>
  <c r="J98" i="4"/>
  <c r="H99" i="4"/>
  <c r="H102" i="4" s="1"/>
  <c r="F113" i="4"/>
  <c r="F117" i="4" s="1"/>
  <c r="H117" i="4" s="1"/>
  <c r="M54" i="5"/>
  <c r="J86" i="4"/>
  <c r="S69" i="6"/>
  <c r="R69" i="6"/>
  <c r="H139" i="4"/>
  <c r="J139" i="4" s="1"/>
  <c r="H59" i="4"/>
  <c r="J59" i="4" s="1"/>
  <c r="H44" i="4"/>
  <c r="H45" i="4" s="1"/>
  <c r="H48" i="4" s="1"/>
  <c r="H145" i="4"/>
  <c r="J145" i="4" s="1"/>
  <c r="H75" i="4"/>
  <c r="H67" i="4"/>
  <c r="H58" i="4"/>
  <c r="J58" i="4" s="1"/>
  <c r="H42" i="4"/>
  <c r="J42" i="4" s="1"/>
  <c r="H28" i="4"/>
  <c r="J28" i="4" s="1"/>
  <c r="Q63" i="1"/>
  <c r="Q64" i="1" s="1"/>
  <c r="S37" i="5"/>
  <c r="R37" i="5"/>
  <c r="P37" i="5"/>
  <c r="O37" i="5"/>
  <c r="S26" i="5"/>
  <c r="R26" i="5"/>
  <c r="P26" i="5"/>
  <c r="O26" i="5"/>
  <c r="S19" i="5"/>
  <c r="O19" i="5"/>
  <c r="P19" i="5"/>
  <c r="R14" i="5"/>
  <c r="R68" i="5" s="1"/>
  <c r="R11" i="5"/>
  <c r="P11" i="5"/>
  <c r="O11" i="5"/>
  <c r="J61" i="4" l="1"/>
  <c r="J52" i="5"/>
  <c r="H52" i="5" s="1"/>
  <c r="G25" i="1" s="1"/>
  <c r="H25" i="1" s="1"/>
  <c r="I54" i="5"/>
  <c r="F70" i="4"/>
  <c r="F71" i="4" s="1"/>
  <c r="P69" i="1"/>
  <c r="F52" i="4"/>
  <c r="Q67" i="1"/>
  <c r="G21" i="4"/>
  <c r="L62" i="5"/>
  <c r="S34" i="3" s="1"/>
  <c r="T34" i="3" s="1"/>
  <c r="S31" i="1"/>
  <c r="G52" i="4"/>
  <c r="Q69" i="1"/>
  <c r="G70" i="4"/>
  <c r="G71" i="4" s="1"/>
  <c r="S71" i="6"/>
  <c r="Q73" i="6"/>
  <c r="I19" i="11"/>
  <c r="I111" i="4"/>
  <c r="K54" i="5"/>
  <c r="K66" i="5" s="1"/>
  <c r="H76" i="4"/>
  <c r="J76" i="4" s="1"/>
  <c r="J88" i="4"/>
  <c r="J92" i="4"/>
  <c r="J94" i="4" s="1"/>
  <c r="G77" i="4"/>
  <c r="Q70" i="1" s="1"/>
  <c r="H69" i="4"/>
  <c r="J69" i="4" s="1"/>
  <c r="H68" i="4"/>
  <c r="J68" i="4" s="1"/>
  <c r="H32" i="4"/>
  <c r="J32" i="4" s="1"/>
  <c r="F34" i="4"/>
  <c r="M66" i="5"/>
  <c r="J141" i="4"/>
  <c r="J75" i="4"/>
  <c r="J67" i="4"/>
  <c r="S9" i="3"/>
  <c r="S29" i="3" s="1"/>
  <c r="S32" i="3" s="1"/>
  <c r="T8" i="6" s="1"/>
  <c r="T7" i="3"/>
  <c r="J97" i="4"/>
  <c r="J99" i="4" s="1"/>
  <c r="F123" i="4"/>
  <c r="F130" i="4" s="1"/>
  <c r="F136" i="4" s="1"/>
  <c r="J44" i="4"/>
  <c r="H50" i="4"/>
  <c r="H52" i="4" s="1"/>
  <c r="R19" i="5"/>
  <c r="R66" i="5" s="1"/>
  <c r="S11" i="5"/>
  <c r="S66" i="5" s="1"/>
  <c r="F9" i="4"/>
  <c r="K67" i="1" l="1"/>
  <c r="G23" i="4"/>
  <c r="H71" i="4"/>
  <c r="J71" i="4" s="1"/>
  <c r="G63" i="4"/>
  <c r="K69" i="1" s="1"/>
  <c r="G54" i="4"/>
  <c r="F63" i="4"/>
  <c r="J69" i="1" s="1"/>
  <c r="F54" i="4"/>
  <c r="H63" i="4"/>
  <c r="H54" i="4"/>
  <c r="H54" i="5"/>
  <c r="H66" i="5" s="1"/>
  <c r="F137" i="4"/>
  <c r="J70" i="1" s="1"/>
  <c r="H130" i="4"/>
  <c r="H136" i="4" s="1"/>
  <c r="H70" i="4"/>
  <c r="J70" i="4" s="1"/>
  <c r="Q71" i="1"/>
  <c r="Q72" i="1" s="1"/>
  <c r="Q73" i="1" s="1"/>
  <c r="R69" i="1"/>
  <c r="T69" i="1" s="1"/>
  <c r="J54" i="5"/>
  <c r="P70" i="1"/>
  <c r="R70" i="1" s="1"/>
  <c r="P68" i="1"/>
  <c r="R68" i="1" s="1"/>
  <c r="T68" i="1" s="1"/>
  <c r="F35" i="4"/>
  <c r="J68" i="1" s="1"/>
  <c r="L68" i="1" s="1"/>
  <c r="N68" i="1" s="1"/>
  <c r="T31" i="1"/>
  <c r="T33" i="1" s="1"/>
  <c r="T34" i="1" s="1"/>
  <c r="S33" i="1"/>
  <c r="S34" i="1" s="1"/>
  <c r="G78" i="4"/>
  <c r="U71" i="6"/>
  <c r="U73" i="6" s="1"/>
  <c r="S73" i="6"/>
  <c r="J5" i="11"/>
  <c r="L66" i="5"/>
  <c r="I152" i="4"/>
  <c r="I113" i="4"/>
  <c r="I117" i="4" s="1"/>
  <c r="J45" i="4"/>
  <c r="J48" i="4" s="1"/>
  <c r="J50" i="4" s="1"/>
  <c r="J52" i="4" s="1"/>
  <c r="H77" i="4"/>
  <c r="H123" i="4"/>
  <c r="J90" i="4"/>
  <c r="H34" i="4"/>
  <c r="F19" i="4"/>
  <c r="F142" i="4"/>
  <c r="F144" i="4" s="1"/>
  <c r="F152" i="4" s="1"/>
  <c r="S35" i="3"/>
  <c r="S39" i="3" s="1"/>
  <c r="I121" i="4" s="1"/>
  <c r="P49" i="5"/>
  <c r="O44" i="5" s="1"/>
  <c r="R70" i="5"/>
  <c r="T8" i="3"/>
  <c r="T9" i="3" s="1"/>
  <c r="T29" i="3" s="1"/>
  <c r="H9" i="4"/>
  <c r="J9" i="4" s="1"/>
  <c r="G137" i="4" l="1"/>
  <c r="K70" i="1" s="1"/>
  <c r="L70" i="1" s="1"/>
  <c r="G79" i="4"/>
  <c r="L69" i="1"/>
  <c r="N69" i="1" s="1"/>
  <c r="J63" i="4"/>
  <c r="J54" i="4"/>
  <c r="J34" i="4"/>
  <c r="J35" i="4" s="1"/>
  <c r="J37" i="4" s="1"/>
  <c r="H35" i="4"/>
  <c r="H37" i="4" s="1"/>
  <c r="H152" i="4"/>
  <c r="H154" i="4" s="1"/>
  <c r="H157" i="4" s="1"/>
  <c r="F154" i="4"/>
  <c r="F157" i="4" s="1"/>
  <c r="F161" i="4" s="1"/>
  <c r="P67" i="1"/>
  <c r="R67" i="1" s="1"/>
  <c r="T67" i="1" s="1"/>
  <c r="F21" i="4"/>
  <c r="H78" i="4"/>
  <c r="H21" i="11"/>
  <c r="J7" i="11"/>
  <c r="J77" i="4"/>
  <c r="H14" i="4"/>
  <c r="P54" i="5"/>
  <c r="P66" i="5" s="1"/>
  <c r="J116" i="4"/>
  <c r="I156" i="4"/>
  <c r="J156" i="4" s="1"/>
  <c r="H142" i="4"/>
  <c r="H144" i="4" s="1"/>
  <c r="T23" i="6"/>
  <c r="T42" i="6" s="1"/>
  <c r="T46" i="6" s="1"/>
  <c r="T69" i="6" s="1"/>
  <c r="U8" i="6"/>
  <c r="U23" i="6" s="1"/>
  <c r="U42" i="6" s="1"/>
  <c r="U46" i="6" s="1"/>
  <c r="U69" i="6" s="1"/>
  <c r="O54" i="5"/>
  <c r="O66" i="5" s="1"/>
  <c r="T32" i="3"/>
  <c r="T35" i="3" s="1"/>
  <c r="T39" i="3" s="1"/>
  <c r="H105" i="4"/>
  <c r="H111" i="4" s="1"/>
  <c r="H113" i="4" s="1"/>
  <c r="J67" i="1" l="1"/>
  <c r="F23" i="4"/>
  <c r="J78" i="4"/>
  <c r="J79" i="4" s="1"/>
  <c r="H79" i="4"/>
  <c r="F167" i="4"/>
  <c r="F172" i="4" s="1"/>
  <c r="K161" i="4"/>
  <c r="J152" i="4"/>
  <c r="H137" i="4"/>
  <c r="K71" i="1"/>
  <c r="K72" i="1" s="1"/>
  <c r="K73" i="1" s="1"/>
  <c r="J71" i="1"/>
  <c r="J72" i="1" s="1"/>
  <c r="J73" i="1" s="1"/>
  <c r="L67" i="1"/>
  <c r="L71" i="1" s="1"/>
  <c r="L72" i="1" s="1"/>
  <c r="L73" i="1" s="1"/>
  <c r="I21" i="11"/>
  <c r="J121" i="4"/>
  <c r="I160" i="4"/>
  <c r="J160" i="4" s="1"/>
  <c r="J14" i="4"/>
  <c r="J16" i="4" s="1"/>
  <c r="J19" i="4" s="1"/>
  <c r="J21" i="4" s="1"/>
  <c r="J23" i="4" s="1"/>
  <c r="H16" i="4"/>
  <c r="H19" i="4" s="1"/>
  <c r="H21" i="4" s="1"/>
  <c r="H23" i="4" s="1"/>
  <c r="P71" i="1"/>
  <c r="R71" i="1" s="1"/>
  <c r="N67" i="1" l="1"/>
  <c r="K17" i="7"/>
  <c r="K24" i="7" s="1"/>
  <c r="H17" i="7"/>
  <c r="H24" i="7" s="1"/>
  <c r="R64" i="1"/>
  <c r="R63" i="1"/>
  <c r="H161" i="4" l="1"/>
  <c r="H167" i="4" s="1"/>
  <c r="K9" i="7"/>
  <c r="K30" i="7" s="1"/>
  <c r="H6" i="7"/>
  <c r="H9" i="7" s="1"/>
  <c r="P72" i="1"/>
  <c r="P73" i="1" s="1"/>
  <c r="H13" i="7" l="1"/>
  <c r="H29" i="7"/>
  <c r="H30" i="7" s="1"/>
  <c r="K13" i="7"/>
  <c r="O68" i="5"/>
  <c r="R72" i="1"/>
  <c r="R73" i="1" s="1"/>
  <c r="J101" i="4"/>
  <c r="I110" i="4" l="1"/>
  <c r="I151" i="4" s="1"/>
  <c r="I102" i="4"/>
  <c r="O70" i="5"/>
  <c r="J110" i="4" l="1"/>
  <c r="J151" i="4" s="1"/>
  <c r="I142" i="4"/>
  <c r="J102" i="4"/>
  <c r="I105" i="4"/>
  <c r="I123" i="4" l="1"/>
  <c r="S70" i="1" s="1"/>
  <c r="T70" i="1" s="1"/>
  <c r="T71" i="1" s="1"/>
  <c r="T72" i="1" s="1"/>
  <c r="T73" i="1" s="1"/>
  <c r="I144" i="4"/>
  <c r="J142" i="4"/>
  <c r="J144" i="4" s="1"/>
  <c r="J105" i="4"/>
  <c r="J111" i="4" s="1"/>
  <c r="J113" i="4" s="1"/>
  <c r="J117" i="4" s="1"/>
  <c r="I154" i="4" l="1"/>
  <c r="S71" i="1"/>
  <c r="S72" i="1" s="1"/>
  <c r="S73" i="1" s="1"/>
  <c r="J123" i="4"/>
  <c r="I157" i="4" l="1"/>
  <c r="I161" i="4" s="1"/>
  <c r="J154" i="4"/>
  <c r="J157" i="4" l="1"/>
  <c r="J161" i="4"/>
  <c r="I26" i="5" l="1"/>
  <c r="M7" i="3"/>
  <c r="N7" i="3" s="1"/>
  <c r="M25" i="1"/>
  <c r="N25" i="1" s="1"/>
  <c r="I3" i="11"/>
  <c r="E22" i="11" s="1"/>
  <c r="I61" i="5"/>
  <c r="M8" i="3"/>
  <c r="N53" i="6"/>
  <c r="O53" i="6" s="1"/>
  <c r="O57" i="6" s="1"/>
  <c r="J62" i="5" l="1"/>
  <c r="J65" i="5" s="1"/>
  <c r="I65" i="5"/>
  <c r="M9" i="3"/>
  <c r="M29" i="3" s="1"/>
  <c r="N8" i="3"/>
  <c r="N9" i="3" s="1"/>
  <c r="G22" i="11"/>
  <c r="I66" i="5"/>
  <c r="J26" i="5"/>
  <c r="N57" i="6"/>
  <c r="J66" i="5" l="1"/>
  <c r="F25" i="11"/>
  <c r="E28" i="11"/>
  <c r="M32" i="3"/>
  <c r="N29" i="3"/>
  <c r="N8" i="6" l="1"/>
  <c r="I56" i="5"/>
  <c r="G45" i="5" s="1"/>
  <c r="G31" i="1" s="1"/>
  <c r="N32" i="3"/>
  <c r="G17" i="7"/>
  <c r="G24" i="7" s="1"/>
  <c r="F26" i="11"/>
  <c r="G25" i="11"/>
  <c r="G33" i="1" l="1"/>
  <c r="G34" i="1" s="1"/>
  <c r="H31" i="1"/>
  <c r="H33" i="1" s="1"/>
  <c r="H34" i="1" s="1"/>
  <c r="G54" i="5"/>
  <c r="G66" i="5" s="1"/>
  <c r="J57" i="5"/>
  <c r="M34" i="3" s="1"/>
  <c r="M31" i="1"/>
  <c r="O8" i="6"/>
  <c r="G26" i="11"/>
  <c r="F27" i="11"/>
  <c r="G27" i="11" s="1"/>
  <c r="H25" i="11"/>
  <c r="I25" i="11" s="1"/>
  <c r="G6" i="7"/>
  <c r="G9" i="7" s="1"/>
  <c r="F28" i="11" l="1"/>
  <c r="G29" i="7"/>
  <c r="G30" i="7" s="1"/>
  <c r="G13" i="7"/>
  <c r="H27" i="11"/>
  <c r="I27" i="11" s="1"/>
  <c r="M33" i="1"/>
  <c r="M34" i="1" s="1"/>
  <c r="N31" i="1"/>
  <c r="N33" i="1" s="1"/>
  <c r="N34" i="1" s="1"/>
  <c r="H26" i="11"/>
  <c r="I26" i="11" s="1"/>
  <c r="G28" i="11"/>
  <c r="N34" i="3"/>
  <c r="N35" i="3" s="1"/>
  <c r="N39" i="3" s="1"/>
  <c r="I5" i="11"/>
  <c r="N22" i="6"/>
  <c r="M35" i="3"/>
  <c r="O22" i="6" l="1"/>
  <c r="O23" i="6" s="1"/>
  <c r="O42" i="6" s="1"/>
  <c r="O46" i="6" s="1"/>
  <c r="O69" i="6" s="1"/>
  <c r="N23" i="6"/>
  <c r="N42" i="6" s="1"/>
  <c r="N46" i="6" s="1"/>
  <c r="N69" i="6" s="1"/>
  <c r="H22" i="11"/>
  <c r="H24" i="11" s="1"/>
  <c r="I7" i="11"/>
  <c r="M39" i="3"/>
  <c r="I129" i="4"/>
  <c r="I130" i="4" l="1"/>
  <c r="I136" i="4" s="1"/>
  <c r="I166" i="4"/>
  <c r="I167" i="4" s="1"/>
  <c r="I172" i="4" s="1"/>
  <c r="G70" i="1" s="1"/>
  <c r="J129" i="4"/>
  <c r="J166" i="4" s="1"/>
  <c r="J167" i="4" s="1"/>
  <c r="J172" i="4" s="1"/>
  <c r="H28" i="11"/>
  <c r="I22" i="11"/>
  <c r="I24" i="11" l="1"/>
  <c r="I28" i="11" s="1"/>
  <c r="I173" i="4"/>
  <c r="J130" i="4"/>
  <c r="J136" i="4" s="1"/>
  <c r="J173" i="4" s="1"/>
  <c r="I137" i="4"/>
  <c r="G71" i="1" l="1"/>
  <c r="G72" i="1" s="1"/>
  <c r="G73" i="1" s="1"/>
  <c r="H70" i="1"/>
  <c r="H71" i="1" s="1"/>
  <c r="H72" i="1" s="1"/>
  <c r="H73" i="1" s="1"/>
  <c r="J137" i="4"/>
  <c r="M70" i="1"/>
  <c r="K137" i="4" s="1"/>
  <c r="M71" i="1" l="1"/>
  <c r="M72" i="1" s="1"/>
  <c r="M73" i="1" s="1"/>
  <c r="N70" i="1"/>
  <c r="N71" i="1" s="1"/>
  <c r="N72" i="1" s="1"/>
  <c r="N73" i="1" s="1"/>
</calcChain>
</file>

<file path=xl/sharedStrings.xml><?xml version="1.0" encoding="utf-8"?>
<sst xmlns="http://schemas.openxmlformats.org/spreadsheetml/2006/main" count="595" uniqueCount="362">
  <si>
    <t>TELCONET Y COMPAÑÍA RELACIONADA</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</si>
  <si>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</si>
  <si>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</si>
  <si>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</si>
  <si>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</si>
  <si>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</si>
  <si>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</si>
  <si>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</si>
  <si>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</si>
  <si>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</si>
  <si>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</si>
  <si>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</si>
  <si>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</si>
  <si>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Trabajos en proceso</t>
  </si>
  <si>
    <t>Total Activos Corrientes</t>
  </si>
  <si>
    <t>Telconet</t>
  </si>
  <si>
    <t>Megadatos</t>
  </si>
  <si>
    <t>Suman</t>
  </si>
  <si>
    <t>(Expresado en dolares estadounidenses)</t>
  </si>
  <si>
    <t>Activos no Corrientes:</t>
  </si>
  <si>
    <t>Otras cuentas por cobrar</t>
  </si>
  <si>
    <t>Propiedades y equipos</t>
  </si>
  <si>
    <t>Propiedades de inversion</t>
  </si>
  <si>
    <t>Activos intangibles</t>
  </si>
  <si>
    <t>Inversiones en subsidiarias y asociadas</t>
  </si>
  <si>
    <t>Total Activos no Corrientes</t>
  </si>
  <si>
    <t xml:space="preserve">TOTAL ACTIVOS  </t>
  </si>
  <si>
    <t>PASIVOS Y PATRIMONIO</t>
  </si>
  <si>
    <t>Pasivos Corrientes:</t>
  </si>
  <si>
    <t>Prestamos y obligaciones financieras</t>
  </si>
  <si>
    <t>Cuentas por pagar:</t>
  </si>
  <si>
    <t>…Proveedores</t>
  </si>
  <si>
    <t>…Impuesto a la renta por pagar</t>
  </si>
  <si>
    <t>…Impuestos por pagar</t>
  </si>
  <si>
    <t>…Otras cuentas por pagar</t>
  </si>
  <si>
    <t>Anticipos de clientes</t>
  </si>
  <si>
    <t>Beneficios sociales</t>
  </si>
  <si>
    <t>Ingresos diferidos</t>
  </si>
  <si>
    <t>Total Pasivos Corrientes</t>
  </si>
  <si>
    <t>Pasivos no Corrientes:</t>
  </si>
  <si>
    <t>Provisiones</t>
  </si>
  <si>
    <t>Total Pasivos no Corrientes</t>
  </si>
  <si>
    <t xml:space="preserve">TOTAL PASIVOS  </t>
  </si>
  <si>
    <t>Patrimonio:</t>
  </si>
  <si>
    <t>Capital</t>
  </si>
  <si>
    <t>Aportes para futuras capitalizaciones</t>
  </si>
  <si>
    <t>Reservas</t>
  </si>
  <si>
    <t>Resultados acumulados</t>
  </si>
  <si>
    <t>Total Patrimonio</t>
  </si>
  <si>
    <t>TOTAL PASIVOS Y PATRIMONIO</t>
  </si>
  <si>
    <t>Otros activos</t>
  </si>
  <si>
    <t>Ajustes de</t>
  </si>
  <si>
    <t>Ingresos por ventas</t>
  </si>
  <si>
    <t>Costo de ventas</t>
  </si>
  <si>
    <t>Utilidad bruta</t>
  </si>
  <si>
    <t>Utilidad operacional</t>
  </si>
  <si>
    <t>Gastos financieros, neto</t>
  </si>
  <si>
    <t>Utilidad antes de impuesto a la renta</t>
  </si>
  <si>
    <t>Utilidad neta y resultado integral del año</t>
  </si>
  <si>
    <t>Otros ingresos operacionales</t>
  </si>
  <si>
    <t>…Remuneraciones  y beneficios a empleados</t>
  </si>
  <si>
    <t>…Depreciaciones y amortizaciones</t>
  </si>
  <si>
    <t>…15% participacion a trabajadores</t>
  </si>
  <si>
    <t>…Otros impuestos y contribuciones</t>
  </si>
  <si>
    <t>…Honorarios profesionales</t>
  </si>
  <si>
    <t>…Mantenimientos y reparaciones</t>
  </si>
  <si>
    <t>…Servicios de publicidad</t>
  </si>
  <si>
    <t>…Gastos de viaje y gestion</t>
  </si>
  <si>
    <t>…Seguros</t>
  </si>
  <si>
    <t>…Servicios basicos</t>
  </si>
  <si>
    <t>…Suministros de oficina</t>
  </si>
  <si>
    <t>…Otros gastos de administracion y ventas</t>
  </si>
  <si>
    <t>Total gastos de administracion y ventas</t>
  </si>
  <si>
    <t>Activos de grupo enajenable clasificados como mantenidos para la venta</t>
  </si>
  <si>
    <t>CAPITAL SOCIAL</t>
  </si>
  <si>
    <t>Saldos previamente reportados al 1o. de enero 2014</t>
  </si>
  <si>
    <t>Aumento de capital 10/07/2015</t>
  </si>
  <si>
    <t>Aumento de capital 23/09/2015</t>
  </si>
  <si>
    <t xml:space="preserve">Aumento de capital 17/12/2015 </t>
  </si>
  <si>
    <t>APORTES PARA FUTURAS CAPITALIZACIONES</t>
  </si>
  <si>
    <t>DEBITO</t>
  </si>
  <si>
    <t>CREDITO</t>
  </si>
  <si>
    <t>-1-</t>
  </si>
  <si>
    <r>
      <rPr>
        <u/>
        <sz val="11"/>
        <color theme="1"/>
        <rFont val="Calibri"/>
        <family val="2"/>
        <scheme val="minor"/>
      </rPr>
      <t>Ingresos Megadatos</t>
    </r>
    <r>
      <rPr>
        <sz val="11"/>
        <color theme="1"/>
        <rFont val="Calibri"/>
        <family val="2"/>
        <scheme val="minor"/>
      </rPr>
      <t>.-</t>
    </r>
  </si>
  <si>
    <r>
      <rPr>
        <u/>
        <sz val="11"/>
        <color theme="1"/>
        <rFont val="Calibri"/>
        <family val="2"/>
        <scheme val="minor"/>
      </rPr>
      <t>à Costo de Ventas Telconet</t>
    </r>
    <r>
      <rPr>
        <sz val="11"/>
        <color theme="1"/>
        <rFont val="Calibri"/>
        <family val="2"/>
        <scheme val="minor"/>
      </rPr>
      <t xml:space="preserve">.- </t>
    </r>
  </si>
  <si>
    <t>Eliminacion de ventas de servicios de Megadatos a Telconet</t>
  </si>
  <si>
    <t>-2-</t>
  </si>
  <si>
    <t>Eliminacion de cuentas intercompany</t>
  </si>
  <si>
    <t>-3-</t>
  </si>
  <si>
    <t>Anticipos de Clientes (PASIVO).-</t>
  </si>
  <si>
    <r>
      <rPr>
        <u/>
        <sz val="11"/>
        <color theme="1"/>
        <rFont val="Calibri"/>
        <family val="2"/>
        <scheme val="minor"/>
      </rPr>
      <t>Ingresos por Ventas, Telconet</t>
    </r>
    <r>
      <rPr>
        <sz val="11"/>
        <color theme="1"/>
        <rFont val="Calibri"/>
        <family val="2"/>
        <scheme val="minor"/>
      </rPr>
      <t>.-</t>
    </r>
  </si>
  <si>
    <r>
      <rPr>
        <u/>
        <sz val="11"/>
        <color theme="1"/>
        <rFont val="Calibri"/>
        <family val="2"/>
        <scheme val="minor"/>
      </rPr>
      <t>à Costo de Ventas Megadatos</t>
    </r>
    <r>
      <rPr>
        <sz val="11"/>
        <color theme="1"/>
        <rFont val="Calibri"/>
        <family val="2"/>
        <scheme val="minor"/>
      </rPr>
      <t xml:space="preserve">.- </t>
    </r>
  </si>
  <si>
    <r>
      <rPr>
        <u/>
        <sz val="11"/>
        <color theme="1"/>
        <rFont val="Calibri"/>
        <family val="2"/>
        <scheme val="minor"/>
      </rPr>
      <t>à Anticipos Proveedores Relacionados (ACTIVO)</t>
    </r>
    <r>
      <rPr>
        <sz val="11"/>
        <color theme="1"/>
        <rFont val="Calibri"/>
        <family val="2"/>
        <scheme val="minor"/>
      </rPr>
      <t xml:space="preserve">.- </t>
    </r>
  </si>
  <si>
    <t>Eliminacion de ventas de servicios deTelconet a Megadatos</t>
  </si>
  <si>
    <t>-4-</t>
  </si>
  <si>
    <t>-5-</t>
  </si>
  <si>
    <r>
      <rPr>
        <u/>
        <sz val="11"/>
        <color theme="1"/>
        <rFont val="Calibri"/>
        <family val="2"/>
        <scheme val="minor"/>
      </rPr>
      <t>Ingresos Diferidos Telconet, No  Corriente</t>
    </r>
    <r>
      <rPr>
        <sz val="11"/>
        <color theme="1"/>
        <rFont val="Calibri"/>
        <family val="2"/>
        <scheme val="minor"/>
      </rPr>
      <t>.-</t>
    </r>
  </si>
  <si>
    <t>…Servicio Cash Management</t>
  </si>
  <si>
    <t>Flujo de efectivo de las actividades de operación:</t>
  </si>
  <si>
    <t>Utilidad antes de Impuesto a la Renta</t>
  </si>
  <si>
    <t>Depreciación de propiedades y equipos</t>
  </si>
  <si>
    <t>Utilidad en venta de activos de grupo enajenable clasificados como mantenidos para la venta</t>
  </si>
  <si>
    <t>Amortización de activos intangibles</t>
  </si>
  <si>
    <t>Participación de los trabajadores en las utilidades</t>
  </si>
  <si>
    <t>Provisión para jubilación patronal y desahucio</t>
  </si>
  <si>
    <t>Cambios en activos y pasivos:</t>
  </si>
  <si>
    <t>Cuentas por cobrar comerciales</t>
  </si>
  <si>
    <t>Cuentas por cobrar a compañías relacionadas</t>
  </si>
  <si>
    <t>Cuentas por pagar a proveedores</t>
  </si>
  <si>
    <t>Cuentas por pagar a compañías relacionadas</t>
  </si>
  <si>
    <t>Impuestos por pagar</t>
  </si>
  <si>
    <t>Otras cuentas por pagar</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</si>
  <si>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</si>
  <si>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</si>
  <si>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</si>
  <si>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</si>
  <si>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</si>
  <si>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</si>
  <si>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de inversiones mantenidas hasta el vencimiento</t>
  </si>
  <si>
    <t>Disminución (aumento) de activos financieros a valor razonable</t>
  </si>
  <si>
    <t>Aumento de inversiones en subsidiarias y asociadas</t>
  </si>
  <si>
    <t>Ventas de propiedades de inversión</t>
  </si>
  <si>
    <t>Ventas de activos de grupo enajenable clasificados como mantenidos para la venta</t>
  </si>
  <si>
    <t>Efectivo neto provisto por (utilizado en) las actividades de inversión</t>
  </si>
  <si>
    <t>Flujo de efectivo de las actividades de financiamiento:</t>
  </si>
  <si>
    <t>Devoluciones de aportes de accionistas</t>
  </si>
  <si>
    <t>Préstamos con entidades financieras</t>
  </si>
  <si>
    <t>Pagos de emisión de obligaciones</t>
  </si>
  <si>
    <t>Efectivo neto (utilizado en) provisto por las actividades de financiamiento</t>
  </si>
  <si>
    <t>(Disminución) incremento neto de efectivo</t>
  </si>
  <si>
    <t>Efectivo y equivalentes de efectivo al inicio del año</t>
  </si>
  <si>
    <t>Efectivo y equivalentes de efectivo al final del año</t>
  </si>
  <si>
    <t>Bajas de activos fijos</t>
  </si>
  <si>
    <t>Beneficios sociales de largo plazo</t>
  </si>
  <si>
    <t>Devolución de aporte de accionistas 13 enero 2015</t>
  </si>
  <si>
    <t>RESERVA LEGAL</t>
  </si>
  <si>
    <t>RESERVA FACULTATIVA</t>
  </si>
  <si>
    <t>RESULTADOS ACUMULADOS</t>
  </si>
  <si>
    <t>Corrección de errores</t>
  </si>
  <si>
    <t>Transf a . Reserva Legal</t>
  </si>
  <si>
    <t>Aumento de capital 30/03/2015</t>
  </si>
  <si>
    <t>OTROS RESULTADOS INTEGRALES</t>
  </si>
  <si>
    <t>Otros resultados integrales:</t>
  </si>
  <si>
    <t>FlUJOS DE EFECTIVO NETOS</t>
  </si>
  <si>
    <t>Aporte para futuras capitalizaciones</t>
  </si>
  <si>
    <t>ESTADOS DE SITUACION FINANCIERA COMBINADOS</t>
  </si>
  <si>
    <t>ESTADOS DE RESULTADOS INTEGRALES COMBINADOS</t>
  </si>
  <si>
    <t>combinacion</t>
  </si>
  <si>
    <t>Combinado</t>
  </si>
  <si>
    <t>Combinacion</t>
  </si>
  <si>
    <t>ESTADO DE CAMBIOS EN EL PATRIMONIO DE ACCIONISTAS COMBINADO</t>
  </si>
  <si>
    <t>ASIENTOS DE COMBINACION</t>
  </si>
  <si>
    <t>ESTADOS DE FLUJOS DE EFECTIVO COMBINADOS</t>
  </si>
  <si>
    <t>SUMAN</t>
  </si>
  <si>
    <t>TOTAL</t>
  </si>
  <si>
    <t>Restauracion de utilidades retenidas al inicio del ejercicio</t>
  </si>
  <si>
    <t>à Ingresos por Ventas, Telconet</t>
  </si>
  <si>
    <t>Más cargos (menos créditos) a resultados que no representan movimiento de efectivo:</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</si>
  <si>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</si>
  <si>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</si>
  <si>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</si>
  <si>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</si>
  <si>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</si>
  <si>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</si>
  <si>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</si>
  <si>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</si>
  <si>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</si>
  <si>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</si>
  <si>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…Intereses por pagar</t>
  </si>
  <si>
    <t>…Prestamos y obligaciones financieras (corrientes)</t>
  </si>
  <si>
    <t>Total Debt Service</t>
  </si>
  <si>
    <t>DEBT Service Coverage Ratio (DSCR)</t>
  </si>
  <si>
    <t>FINANCIAL DEBT TO EBITDA RATIO</t>
  </si>
  <si>
    <t>Financial Debt to EBITDA Ratio</t>
  </si>
  <si>
    <t>Financial Debt</t>
  </si>
  <si>
    <t>Saldos reestructurados al 1o. Enero 2015</t>
  </si>
  <si>
    <t>Adopción cambios NIC 19</t>
  </si>
  <si>
    <t>Saldos previamente reportados al 1o. de enero 2015</t>
  </si>
  <si>
    <t>Saldos reestructurados al 31 de diciembre del 2015</t>
  </si>
  <si>
    <t xml:space="preserve">Utilidad neta y resultado integral del año </t>
  </si>
  <si>
    <t>Adopcion NIC 19</t>
  </si>
  <si>
    <t>Incremento de capital</t>
  </si>
  <si>
    <t>Inversiones en derechos fiduciarios</t>
  </si>
  <si>
    <t>Provisión por deterioro de otras cuentas por cobrar</t>
  </si>
  <si>
    <t>Depreciación de propiedades de inversión</t>
  </si>
  <si>
    <t>Provisión por deterioro de inversión en subsidiarias y asociados</t>
  </si>
  <si>
    <t>Utilidades Retenidas del Ejercicio.-</t>
  </si>
  <si>
    <t>Utilidades Retenidas al Principio del Periodo.-</t>
  </si>
  <si>
    <r>
      <rPr>
        <u/>
        <sz val="11"/>
        <color theme="1"/>
        <rFont val="Calibri"/>
        <family val="2"/>
        <scheme val="minor"/>
      </rPr>
      <t>Utilidades Retenidas al Principio del Periodo</t>
    </r>
    <r>
      <rPr>
        <sz val="11"/>
        <color theme="1"/>
        <rFont val="Calibri"/>
        <family val="2"/>
        <scheme val="minor"/>
      </rPr>
      <t xml:space="preserve"> .-</t>
    </r>
  </si>
  <si>
    <r>
      <rPr>
        <u/>
        <sz val="11"/>
        <color theme="1"/>
        <rFont val="Calibri"/>
        <family val="2"/>
        <scheme val="minor"/>
      </rPr>
      <t>à Otros Egresos</t>
    </r>
    <r>
      <rPr>
        <sz val="11"/>
        <color theme="1"/>
        <rFont val="Calibri"/>
        <family val="2"/>
        <scheme val="minor"/>
      </rPr>
      <t xml:space="preserve">.- </t>
    </r>
  </si>
  <si>
    <t>Transferencia a Reserva Legal</t>
  </si>
  <si>
    <t>Capitalización de utilidades</t>
  </si>
  <si>
    <t>Apropiacion de reserva legal</t>
  </si>
  <si>
    <t>RESULTADOS ACUMULADOS - RESERVA DE CAPITAL</t>
  </si>
  <si>
    <t>Saldos reestructurados al 1 de enero del 2015</t>
  </si>
  <si>
    <t>-6-</t>
  </si>
  <si>
    <r>
      <rPr>
        <u/>
        <sz val="11"/>
        <color theme="1"/>
        <rFont val="Calibri"/>
        <family val="2"/>
        <scheme val="minor"/>
      </rPr>
      <t>Depreciación Acumulada</t>
    </r>
    <r>
      <rPr>
        <sz val="11"/>
        <color theme="1"/>
        <rFont val="Calibri"/>
        <family val="2"/>
        <scheme val="minor"/>
      </rPr>
      <t>.-</t>
    </r>
  </si>
  <si>
    <t xml:space="preserve">Utilidades Retenidas al Inicio del Periodo.- </t>
  </si>
  <si>
    <t>Reestructuración de saldos iniciales</t>
  </si>
  <si>
    <t>Otros resultados integrales reestructurados</t>
  </si>
  <si>
    <t>Saldos al 31 de diciembre del 2016</t>
  </si>
  <si>
    <t>Capitalizacion de utilidades</t>
  </si>
  <si>
    <t>Utilidad neta reestructurada y resultado integral del año</t>
  </si>
  <si>
    <t>Gastos de administracion y ventas</t>
  </si>
  <si>
    <r>
      <rPr>
        <u/>
        <sz val="11"/>
        <color theme="1"/>
        <rFont val="Calibri"/>
        <family val="2"/>
        <scheme val="minor"/>
      </rPr>
      <t>á Costo de Ventas (Gasto depreciación)</t>
    </r>
    <r>
      <rPr>
        <sz val="11"/>
        <color theme="1"/>
        <rFont val="Calibri"/>
        <family val="2"/>
        <scheme val="minor"/>
      </rPr>
      <t xml:space="preserve">.- </t>
    </r>
  </si>
  <si>
    <t>…Relacionadas</t>
  </si>
  <si>
    <r>
      <rPr>
        <u/>
        <sz val="11"/>
        <color theme="1"/>
        <rFont val="Calibri"/>
        <family val="2"/>
        <scheme val="minor"/>
      </rPr>
      <t>à Propiedades y Equipos, Megadatos</t>
    </r>
    <r>
      <rPr>
        <sz val="11"/>
        <color theme="1"/>
        <rFont val="Calibri"/>
        <family val="2"/>
        <scheme val="minor"/>
      </rPr>
      <t>.-</t>
    </r>
  </si>
  <si>
    <t>à Propiedades y Equipos, Megadatos (Equipos para prestación de servicios).-</t>
  </si>
  <si>
    <t>Utilidades retenidas al inicio del periodo</t>
  </si>
  <si>
    <t>COMPRAS DE ACTIVOS FIJOS A TELCONET Y DEPRECIACION EN MEGADATOS:</t>
  </si>
  <si>
    <t>Enero</t>
  </si>
  <si>
    <t>Febrero</t>
  </si>
  <si>
    <t>Marzo</t>
  </si>
  <si>
    <t>Abril</t>
  </si>
  <si>
    <t>Mayo</t>
  </si>
  <si>
    <t>Junio</t>
  </si>
  <si>
    <t>Julio</t>
  </si>
  <si>
    <t>Agosto</t>
  </si>
  <si>
    <t>Septiembre</t>
  </si>
  <si>
    <t>Octubre</t>
  </si>
  <si>
    <t>Noviembre</t>
  </si>
  <si>
    <t>Diciembre</t>
  </si>
  <si>
    <t>COMPRAS</t>
  </si>
  <si>
    <t>% depreciac.</t>
  </si>
  <si>
    <t>GASTO 2016</t>
  </si>
  <si>
    <t>Compras 2015</t>
  </si>
  <si>
    <t>Compras 2016</t>
  </si>
  <si>
    <t>Compras 2014</t>
  </si>
  <si>
    <t>Utilidades retenidas del ejercicio</t>
  </si>
  <si>
    <t>Total de ajustes a utilidades retenidas</t>
  </si>
  <si>
    <t>Eliminación gasto de depreciación de activos fijos en Megadatos; Equipos para la prestación de los servicios</t>
  </si>
  <si>
    <t xml:space="preserve">RESULTADOS ACUMULADOS - POR APLICACIÓN NIIF </t>
  </si>
  <si>
    <t>Utilidades Retenidas del Ejercicio .-</t>
  </si>
  <si>
    <t>Otros Egresos.-</t>
  </si>
  <si>
    <r>
      <rPr>
        <u/>
        <sz val="11"/>
        <color theme="1"/>
        <rFont val="Calibri"/>
        <family val="2"/>
        <scheme val="minor"/>
      </rPr>
      <t>Impuesto diferido</t>
    </r>
    <r>
      <rPr>
        <sz val="11"/>
        <color theme="1"/>
        <rFont val="Calibri"/>
        <family val="2"/>
        <scheme val="minor"/>
      </rPr>
      <t>.-</t>
    </r>
  </si>
  <si>
    <r>
      <rPr>
        <u/>
        <sz val="11"/>
        <color theme="1"/>
        <rFont val="Calibri"/>
        <family val="2"/>
        <scheme val="minor"/>
      </rPr>
      <t>á Impuesto a la renta (GASTO)</t>
    </r>
    <r>
      <rPr>
        <sz val="11"/>
        <color theme="1"/>
        <rFont val="Calibri"/>
        <family val="2"/>
        <scheme val="minor"/>
      </rPr>
      <t>.-</t>
    </r>
  </si>
  <si>
    <t>Impuesto diferido</t>
  </si>
  <si>
    <t>Saldos reestructurados al 1o. de enero del 2015</t>
  </si>
  <si>
    <t>Saldos reestructurados al 1o. de enero 2015</t>
  </si>
  <si>
    <t>Saldos al 31 de diciembre del 2015</t>
  </si>
  <si>
    <t>Activos fijos cargados a gastos en 2014</t>
  </si>
  <si>
    <t>Activos fijos cargados a gastos en 2015</t>
  </si>
  <si>
    <t>Activos fijos cargados a gastos en 2016</t>
  </si>
  <si>
    <t>1.</t>
  </si>
  <si>
    <t>ESTADOS DE RESULTADOS COMBINADOS</t>
  </si>
  <si>
    <t>FLUJOS DE EFECTIVO COMBINADOS</t>
  </si>
  <si>
    <t>MOVIMIENTO DEL PATRIMONIO DE ACCIONISTAS COMIBINADOS</t>
  </si>
  <si>
    <t>2.</t>
  </si>
  <si>
    <t>3.</t>
  </si>
  <si>
    <t>4.</t>
  </si>
  <si>
    <t>5.</t>
  </si>
  <si>
    <t>ASIENTOS CONTABLES DE COMBINACION</t>
  </si>
  <si>
    <t>6.</t>
  </si>
  <si>
    <t>RATIOS FINANCIEROS</t>
  </si>
  <si>
    <t>ING. MARIO ALMEIDA REDROVAN</t>
  </si>
  <si>
    <t xml:space="preserve">                  AUDITOR INTERNO</t>
  </si>
  <si>
    <t>Al 31 de diciembre del 2017 y 2016</t>
  </si>
  <si>
    <t>Saldo al 31 de diciembre del 2017</t>
  </si>
  <si>
    <t>Aumento de capital 14/07/2017</t>
  </si>
  <si>
    <t>Aplicación de aporte de accionistas a cuentas por cobrar según Acta de Junta de Accionistas del 29 de diciembre de 2017</t>
  </si>
  <si>
    <t>Saldos al 31 de diciembre del 2017</t>
  </si>
  <si>
    <t>Apropiación reserva legal</t>
  </si>
  <si>
    <t>Aumento de capital según Acta de Junta de Accionistas del 14 de julio de 2017</t>
  </si>
  <si>
    <t>Otros ajustes menores</t>
  </si>
  <si>
    <t>Otros movimientos menores en el patrimonio</t>
  </si>
  <si>
    <r>
      <rPr>
        <u/>
        <sz val="11"/>
        <color theme="1"/>
        <rFont val="Calibri"/>
        <family val="2"/>
        <scheme val="minor"/>
      </rPr>
      <t>Ingresos Diferidos Telconet, Corriente</t>
    </r>
    <r>
      <rPr>
        <sz val="11"/>
        <color theme="1"/>
        <rFont val="Calibri"/>
        <family val="2"/>
        <scheme val="minor"/>
      </rPr>
      <t>.-</t>
    </r>
  </si>
  <si>
    <t>Correccion de pasivos con Accionistas</t>
  </si>
  <si>
    <t>Saldo al 1o. de enero del 2016, reexpresado</t>
  </si>
  <si>
    <t>Saldos al 1o. de enero del 2016</t>
  </si>
  <si>
    <t>Saldos al 1o. de enero del 2016 (reexpresado)</t>
  </si>
  <si>
    <t>Saldo al 1o. de enero del 2016</t>
  </si>
  <si>
    <t>Saldo al 1o. de enero del 2016 (reexpresado)</t>
  </si>
  <si>
    <t>Otros ingresos (gastos), neto</t>
  </si>
  <si>
    <t>Impuesto diferido originado por la venta de activos fijos del anio</t>
  </si>
  <si>
    <t>Emisión de obligaciones, neto</t>
  </si>
  <si>
    <r>
      <rPr>
        <u/>
        <sz val="11"/>
        <color theme="1"/>
        <rFont val="Calibri"/>
        <family val="2"/>
        <scheme val="minor"/>
      </rPr>
      <t>à Costo de Ventas</t>
    </r>
    <r>
      <rPr>
        <sz val="11"/>
        <color theme="1"/>
        <rFont val="Calibri"/>
        <family val="2"/>
        <scheme val="minor"/>
      </rPr>
      <t xml:space="preserve">.- </t>
    </r>
  </si>
  <si>
    <r>
      <rPr>
        <u/>
        <sz val="11"/>
        <color theme="1"/>
        <rFont val="Calibri"/>
        <family val="2"/>
        <scheme val="minor"/>
      </rPr>
      <t>á Anticipos a Proveedores Relacionados</t>
    </r>
    <r>
      <rPr>
        <sz val="11"/>
        <color theme="1"/>
        <rFont val="Calibri"/>
        <family val="2"/>
        <scheme val="minor"/>
      </rPr>
      <t>.-</t>
    </r>
  </si>
  <si>
    <t>EFECTO DE LOS AJUSTES EN RESULTADOS</t>
  </si>
  <si>
    <t>1) Eliminacion de ventas de activos fijos de Telconet a Megadatos</t>
  </si>
  <si>
    <t>2) Eliminación del gasto de depreciación de los activos fijos comprados</t>
  </si>
  <si>
    <t>3) Impuesto diferido</t>
  </si>
  <si>
    <t>Otros</t>
  </si>
  <si>
    <t>COMENTARIOS</t>
  </si>
  <si>
    <t>Valor de acuerdo con el informe de auditoria de Megadatos</t>
  </si>
  <si>
    <t>Gasto total de depreciación de equipos para prestación de servicios (Megadatos)</t>
  </si>
  <si>
    <t>DETALLE DE TRANSACCIONES ENTRE TELCONET Y MEGADATOS</t>
  </si>
  <si>
    <t>Ventas de Telconet a Megadatos</t>
  </si>
  <si>
    <t>Valores corroborados con el informe de Megadatos</t>
  </si>
  <si>
    <t>Sin embargo el ajuste se hizo únicamente por US$42,5 millones</t>
  </si>
  <si>
    <t>Según informe de Telconet:</t>
  </si>
  <si>
    <t>Según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</si>
  <si>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</si>
  <si>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a) Compras de activos fijos</t>
  </si>
  <si>
    <t>b) Cargos al costo de ventas</t>
  </si>
  <si>
    <t>c) Valor registrado como Anticipos a Proveedores Relacionados según la nota 22 b) del informe de Megadatos</t>
  </si>
  <si>
    <t>SI LOS AJUSTES ESTUVIERAN BIEN Y SUPONIENDO QUE NO HAYA MAS VENTAS DE ACTIVOS FIJOS EN EL FUTURO:</t>
  </si>
  <si>
    <t>Eliminación de activos fijos</t>
  </si>
  <si>
    <t>Eliminación depreciación</t>
  </si>
  <si>
    <t>Subtotal</t>
  </si>
  <si>
    <t>ANIOS</t>
  </si>
  <si>
    <t>Si no se dan más ventas de activos fijos de Telconet a Megadatos, entonces</t>
  </si>
  <si>
    <t>únicamente se eliminará la depreciación en los próximos tres anios (período de</t>
  </si>
  <si>
    <t>depreciación de los equipos), con lo cual en los anios futuros se reversa el efecto</t>
  </si>
  <si>
    <t>POR LOS AÑOS TERMINADOS EL 31 DE DICIEMBRE DEL 2018 Y 2017</t>
  </si>
  <si>
    <t>Al 31 de diciembre del 2018 y 2017</t>
  </si>
  <si>
    <t>Saldo al 31 de diciembre del 2018</t>
  </si>
  <si>
    <t>Saldo al 1o. de enero del 2017 (reexpresado)</t>
  </si>
  <si>
    <t>Saldos al 31 de diciembre del 2018</t>
  </si>
  <si>
    <t>Efecto en resultados acumulados</t>
  </si>
  <si>
    <t>y ajuste del gasto de depreciación</t>
  </si>
  <si>
    <t>del impuesto diferido que surge de la combinación</t>
  </si>
  <si>
    <t>Porcion corriente de valores emitidos</t>
  </si>
  <si>
    <t>Valores emitidos a largo plazo</t>
  </si>
  <si>
    <t>Incremento de la Reserva legal</t>
  </si>
  <si>
    <t>Eefecto de implantación de la NIIF 9</t>
  </si>
  <si>
    <t xml:space="preserve">Pago de dividendos </t>
  </si>
  <si>
    <t xml:space="preserve">Resultado del ejercicio </t>
  </si>
  <si>
    <t>Incremento a la Reserva Legal Ajuste en 2018</t>
  </si>
  <si>
    <t>Variación de ingresos diferidos</t>
  </si>
  <si>
    <t>Reservas totales</t>
  </si>
  <si>
    <t>Resultados acumulados totales</t>
  </si>
  <si>
    <t>TOTAL DEL PATRIMONIO</t>
  </si>
  <si>
    <t xml:space="preserve">Otros resultados integrales </t>
  </si>
  <si>
    <t>Pasivo contingente</t>
  </si>
  <si>
    <t>Jubilacion patronal y desahucio</t>
  </si>
  <si>
    <t>Provisión por deterioro de cuentas por cobrar</t>
  </si>
  <si>
    <t>Adiciones de propiedades y equipos</t>
  </si>
  <si>
    <t>Adiciones de activos intangibles</t>
  </si>
  <si>
    <t>Otros ingresos (gastos), neto .-</t>
  </si>
  <si>
    <t>-7-</t>
  </si>
  <si>
    <t>…Pasivos del contrato y otras cuentas por pagar</t>
  </si>
  <si>
    <t>Ajuste del impuesto diferido por cambio en la tasa de 22% a</t>
  </si>
  <si>
    <t>25%</t>
  </si>
  <si>
    <t>liquidarán en el último anio</t>
  </si>
  <si>
    <t>Valor calculado como el 25% de los efectos de ajustes al P&amp;G en 2018 (22% en anios</t>
  </si>
  <si>
    <t>anteriores</t>
  </si>
  <si>
    <t>Obligaciones financieras, neto</t>
  </si>
  <si>
    <t>Impuesto a la renta y diferido</t>
  </si>
  <si>
    <r>
      <rPr>
        <u/>
        <sz val="11"/>
        <color theme="1"/>
        <rFont val="Calibri"/>
        <family val="2"/>
        <scheme val="minor"/>
      </rPr>
      <t>Depreciación acumulada</t>
    </r>
    <r>
      <rPr>
        <sz val="11"/>
        <color theme="1"/>
        <rFont val="Calibri"/>
        <family val="2"/>
        <scheme val="minor"/>
      </rPr>
      <t>. -</t>
    </r>
  </si>
  <si>
    <t>Anticipos de clientes (Pasivos del contrato)</t>
  </si>
  <si>
    <t>Pasivos por arrendamiento</t>
  </si>
  <si>
    <t>Nuevas mediciones de los planes de beneficio definido - Ganancias (perdidas) actuariales</t>
  </si>
  <si>
    <t>Adquisicion de activos financieros</t>
  </si>
  <si>
    <t>Pago de dividendos</t>
  </si>
  <si>
    <t>Pago capital de pasivo por arrendamiento</t>
  </si>
  <si>
    <t>Saldo al 31 de diciembre del 2019</t>
  </si>
  <si>
    <t>Saldos al 31 de diciembre del 2019</t>
  </si>
  <si>
    <t>Efecto de implantacion de la NIIF 16</t>
  </si>
  <si>
    <t>Resultado del ejercicio y otros resultados integrales</t>
  </si>
  <si>
    <r>
      <rPr>
        <u/>
        <sz val="11"/>
        <color theme="1"/>
        <rFont val="Calibri"/>
        <family val="2"/>
        <scheme val="minor"/>
      </rPr>
      <t>à Cuentas por Cobrar Telconet (Anticipo proveedores relacionados)</t>
    </r>
    <r>
      <rPr>
        <sz val="11"/>
        <color theme="1"/>
        <rFont val="Calibri"/>
        <family val="2"/>
        <scheme val="minor"/>
      </rPr>
      <t xml:space="preserve">.- </t>
    </r>
  </si>
  <si>
    <t>Cuentas por Pagar relacionadas L/P (Telconet).-</t>
  </si>
  <si>
    <r>
      <rPr>
        <u/>
        <sz val="11"/>
        <color theme="1"/>
        <rFont val="Calibri"/>
        <family val="2"/>
        <scheme val="minor"/>
      </rPr>
      <t>à Cuenta por Cobrar relacionadas, C/P</t>
    </r>
    <r>
      <rPr>
        <sz val="11"/>
        <color theme="1"/>
        <rFont val="Calibri"/>
        <family val="2"/>
        <scheme val="minor"/>
      </rPr>
      <t xml:space="preserve">.- </t>
    </r>
  </si>
  <si>
    <t>Ingresos por ventas (venta diferida).-</t>
  </si>
  <si>
    <r>
      <rPr>
        <u/>
        <sz val="11"/>
        <color theme="1"/>
        <rFont val="Calibri"/>
        <family val="2"/>
        <scheme val="minor"/>
      </rPr>
      <t>Otros ingresos, neto</t>
    </r>
    <r>
      <rPr>
        <sz val="11"/>
        <color theme="1"/>
        <rFont val="Calibri"/>
        <family val="2"/>
        <scheme val="minor"/>
      </rPr>
      <t>.-</t>
    </r>
  </si>
  <si>
    <t>-8-</t>
  </si>
  <si>
    <r>
      <rPr>
        <u/>
        <sz val="11"/>
        <color theme="1"/>
        <rFont val="Calibri"/>
        <family val="2"/>
        <scheme val="minor"/>
      </rPr>
      <t>Cuenta por Pagar relacionadas C/P</t>
    </r>
    <r>
      <rPr>
        <sz val="11"/>
        <color theme="1"/>
        <rFont val="Calibri"/>
        <family val="2"/>
        <scheme val="minor"/>
      </rPr>
      <t>.-</t>
    </r>
  </si>
  <si>
    <t>Al 31 de diciembre del 2019 y 2018</t>
  </si>
  <si>
    <t>Aporte recibido de Accionistas</t>
  </si>
  <si>
    <t>Efecto en resultados</t>
  </si>
  <si>
    <t>Impuesto diferido por combinacion</t>
  </si>
  <si>
    <t xml:space="preserve">Saldo de US$15 mil, no material, originado por otros ajustes menores y que se </t>
  </si>
  <si>
    <t>Anticipos de clientes 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</si>
</sst>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0.00_);_(* \(#,##0.00\);_(* &quot;-&quot;??_);_(@_)"/>
    <numFmt numFmtId="165" formatCode="_(* #,##0_);_(* \(#,##0\);_(* &quot;-&quot;??_);_(@_)"/>
    <numFmt numFmtId="166" formatCode="_(* #,##0.0_);_(* \(#,##0.0\);_(* &quot;-&quot;??_);_(@_)"/>
    <numFmt numFmtId="167" formatCode="0.0"/>
    <numFmt numFmtId="168"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sz val="9"/>
      <color theme="1"/>
      <name val="Calibri"/>
      <family val="2"/>
      <scheme val="minor"/>
    </font>
    <font>
      <b/>
      <sz val="10"/>
      <color theme="1"/>
      <name val="Calibri"/>
      <family val="2"/>
      <scheme val="minor"/>
    </font>
    <font>
      <u val="singleAccounting"/>
      <sz val="11"/>
      <color theme="1"/>
      <name val="Calibri"/>
      <family val="2"/>
      <scheme val="minor"/>
    </font>
    <font>
      <sz val="8"/>
      <color theme="1"/>
      <name val="Calibri"/>
      <family val="2"/>
      <scheme val="minor"/>
    </font>
    <font>
      <u/>
      <sz val="9"/>
      <color theme="1"/>
      <name val="Calibri"/>
      <family val="2"/>
      <scheme val="minor"/>
    </font>
    <font>
      <sz val="9"/>
      <color theme="1"/>
      <name val="Calibri"/>
      <family val="2"/>
      <scheme val="minor"/>
    </font>
    <font>
      <u/>
      <sz val="11"/>
      <color theme="10"/>
      <name val="Calibri"/>
      <family val="2"/>
      <scheme val="minor"/>
    </font>
    <font>
      <sz val="10"/>
      <name val="Arial"/>
      <family val="2"/>
    </font>
    <font>
      <sz val="10"/>
      <color indexed="8"/>
      <name val="MS Sans Serif"/>
      <family val="2"/>
    </font>
    <font>
      <i/>
      <sz val="8"/>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8">
    <xf numFmtId="0" fontId="0" fillId="0" borderId="0"/>
    <xf numFmtId="164" fontId="1" fillId="0" borderId="0" applyFont="0" applyFill="0" applyBorder="0" applyAlignment="0" applyProtection="0"/>
    <xf numFmtId="0" fontId="11" fillId="0" borderId="0" applyNumberFormat="0" applyFill="0" applyBorder="0" applyAlignment="0" applyProtection="0"/>
    <xf numFmtId="43"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0"/>
    <xf numFmtId="9" fontId="1" fillId="0" borderId="0" applyFont="0" applyFill="0" applyBorder="0" applyAlignment="0" applyProtection="0"/>
  </cellStyleXfs>
  <cellXfs count="213">
    <xf numFmtId="0" fontId="0" fillId="0" borderId="0" xfId="0"/>
    <xf numFmtId="0" fontId="2" fillId="0" borderId="0" xfId="0" applyFont="1"/>
    <xf numFmtId="0" fontId="3" fillId="0" borderId="0" xfId="0" applyFont="1"/>
    <xf numFmtId="0" fontId="0" fillId="0" borderId="0" xfId="0" applyFont="1"/>
    <xf numFmtId="165" fontId="0" fillId="0" borderId="0" xfId="1" applyNumberFormat="1" applyFont="1"/>
    <xf numFmtId="0" fontId="0" fillId="0" borderId="0" xfId="0"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1" xfId="0" applyBorder="1"/>
    <xf numFmtId="0" fontId="0" fillId="0" borderId="8" xfId="0" applyBorder="1"/>
    <xf numFmtId="0" fontId="0" fillId="0" borderId="9" xfId="0" applyBorder="1"/>
    <xf numFmtId="0" fontId="0" fillId="0" borderId="10" xfId="0" applyBorder="1"/>
    <xf numFmtId="0" fontId="0" fillId="0" borderId="10" xfId="0" applyBorder="1" applyAlignment="1">
      <alignment horizontal="center"/>
    </xf>
    <xf numFmtId="0" fontId="4" fillId="0" borderId="10" xfId="0" applyFont="1" applyBorder="1" applyAlignment="1">
      <alignment horizontal="center"/>
    </xf>
    <xf numFmtId="0" fontId="4" fillId="0" borderId="10" xfId="0" applyFont="1" applyBorder="1" applyAlignment="1"/>
    <xf numFmtId="165" fontId="0" fillId="0" borderId="10" xfId="1" applyNumberFormat="1" applyFont="1" applyBorder="1"/>
    <xf numFmtId="165" fontId="0" fillId="0" borderId="11" xfId="1" applyNumberFormat="1" applyFont="1" applyBorder="1"/>
    <xf numFmtId="0" fontId="0" fillId="0" borderId="3" xfId="0" quotePrefix="1" applyBorder="1" applyAlignment="1">
      <alignment horizontal="center"/>
    </xf>
    <xf numFmtId="0" fontId="0" fillId="0" borderId="7" xfId="0" applyBorder="1"/>
    <xf numFmtId="165" fontId="0" fillId="0" borderId="9" xfId="1" applyNumberFormat="1" applyFont="1" applyBorder="1"/>
    <xf numFmtId="0" fontId="4" fillId="0" borderId="5" xfId="0" applyFont="1" applyBorder="1"/>
    <xf numFmtId="165" fontId="4" fillId="0" borderId="10" xfId="1" applyNumberFormat="1" applyFont="1" applyBorder="1" applyAlignment="1">
      <alignment horizontal="center"/>
    </xf>
    <xf numFmtId="0" fontId="0" fillId="0" borderId="5" xfId="0" applyFill="1" applyBorder="1"/>
    <xf numFmtId="165" fontId="0" fillId="0" borderId="12" xfId="1" applyNumberFormat="1" applyFont="1" applyBorder="1"/>
    <xf numFmtId="0" fontId="0" fillId="0" borderId="12" xfId="0" applyBorder="1"/>
    <xf numFmtId="165" fontId="0" fillId="0" borderId="10" xfId="0" applyNumberFormat="1" applyBorder="1"/>
    <xf numFmtId="165" fontId="0" fillId="0" borderId="6" xfId="1" applyNumberFormat="1" applyFont="1" applyBorder="1"/>
    <xf numFmtId="165" fontId="0" fillId="0" borderId="11" xfId="0" applyNumberFormat="1" applyBorder="1"/>
    <xf numFmtId="165" fontId="0" fillId="0" borderId="9" xfId="0" applyNumberFormat="1" applyBorder="1"/>
    <xf numFmtId="165" fontId="2" fillId="0" borderId="11" xfId="1" applyNumberFormat="1" applyFont="1" applyBorder="1"/>
    <xf numFmtId="0" fontId="2" fillId="0" borderId="2" xfId="0" applyFont="1" applyBorder="1"/>
    <xf numFmtId="0" fontId="2" fillId="0" borderId="5" xfId="0" applyFont="1" applyBorder="1"/>
    <xf numFmtId="165" fontId="2" fillId="0" borderId="12" xfId="1" applyNumberFormat="1" applyFont="1" applyBorder="1"/>
    <xf numFmtId="0" fontId="0" fillId="0" borderId="11" xfId="0" applyBorder="1" applyAlignment="1">
      <alignment horizontal="center"/>
    </xf>
    <xf numFmtId="165" fontId="0" fillId="0" borderId="0" xfId="0" applyNumberFormat="1"/>
    <xf numFmtId="165" fontId="0" fillId="0" borderId="10" xfId="1" applyNumberFormat="1" applyFont="1" applyFill="1" applyBorder="1"/>
    <xf numFmtId="0" fontId="0" fillId="0" borderId="0" xfId="0" applyFill="1"/>
    <xf numFmtId="0" fontId="0" fillId="0" borderId="0" xfId="0" applyFill="1" applyBorder="1"/>
    <xf numFmtId="165" fontId="0" fillId="0" borderId="0" xfId="1" applyNumberFormat="1" applyFont="1" applyFill="1"/>
    <xf numFmtId="0" fontId="4" fillId="0" borderId="5" xfId="0" applyFont="1" applyFill="1" applyBorder="1"/>
    <xf numFmtId="165" fontId="0" fillId="0" borderId="0" xfId="0" applyNumberFormat="1" applyFill="1"/>
    <xf numFmtId="0" fontId="0" fillId="0" borderId="0" xfId="0" applyFill="1" applyAlignment="1">
      <alignment horizontal="center"/>
    </xf>
    <xf numFmtId="0" fontId="0" fillId="0" borderId="11" xfId="0" applyFill="1" applyBorder="1" applyAlignment="1">
      <alignment horizontal="center"/>
    </xf>
    <xf numFmtId="0" fontId="0" fillId="0" borderId="10" xfId="0" applyFill="1" applyBorder="1"/>
    <xf numFmtId="165" fontId="0" fillId="0" borderId="11" xfId="1" applyNumberFormat="1" applyFont="1" applyFill="1" applyBorder="1"/>
    <xf numFmtId="165" fontId="0" fillId="0" borderId="9" xfId="1" applyNumberFormat="1" applyFont="1" applyFill="1" applyBorder="1"/>
    <xf numFmtId="165" fontId="0" fillId="0" borderId="2" xfId="1" applyNumberFormat="1" applyFont="1" applyFill="1" applyBorder="1"/>
    <xf numFmtId="165" fontId="0" fillId="0" borderId="5" xfId="1" applyNumberFormat="1" applyFont="1" applyFill="1" applyBorder="1"/>
    <xf numFmtId="165" fontId="0" fillId="0" borderId="13" xfId="1" applyNumberFormat="1" applyFont="1" applyFill="1" applyBorder="1"/>
    <xf numFmtId="165" fontId="0" fillId="0" borderId="12" xfId="1" applyNumberFormat="1" applyFont="1" applyFill="1" applyBorder="1"/>
    <xf numFmtId="0" fontId="4" fillId="0" borderId="0" xfId="0" applyFont="1" applyAlignment="1">
      <alignment horizontal="center"/>
    </xf>
    <xf numFmtId="0" fontId="0" fillId="0" borderId="0" xfId="0" quotePrefix="1"/>
    <xf numFmtId="166" fontId="0" fillId="0" borderId="11" xfId="1" applyNumberFormat="1" applyFont="1" applyBorder="1"/>
    <xf numFmtId="165" fontId="7" fillId="0" borderId="0" xfId="1" applyNumberFormat="1" applyFont="1"/>
    <xf numFmtId="165" fontId="1" fillId="0" borderId="0" xfId="1" applyNumberFormat="1" applyFont="1" applyBorder="1"/>
    <xf numFmtId="165" fontId="0" fillId="0" borderId="5" xfId="1" applyNumberFormat="1" applyFont="1" applyBorder="1"/>
    <xf numFmtId="165" fontId="0" fillId="0" borderId="7" xfId="1" applyNumberFormat="1" applyFont="1" applyBorder="1"/>
    <xf numFmtId="165" fontId="0" fillId="0" borderId="0" xfId="1" applyNumberFormat="1" applyFont="1" applyBorder="1"/>
    <xf numFmtId="165" fontId="0" fillId="0" borderId="1" xfId="1" applyNumberFormat="1" applyFont="1" applyBorder="1"/>
    <xf numFmtId="165" fontId="0" fillId="0" borderId="3" xfId="1" applyNumberFormat="1" applyFont="1" applyBorder="1"/>
    <xf numFmtId="165" fontId="0" fillId="2" borderId="10" xfId="1" applyNumberFormat="1" applyFont="1" applyFill="1" applyBorder="1"/>
    <xf numFmtId="0" fontId="0" fillId="0" borderId="11" xfId="0" applyBorder="1" applyAlignment="1">
      <alignment horizontal="center"/>
    </xf>
    <xf numFmtId="165" fontId="0" fillId="0" borderId="2" xfId="1" applyNumberFormat="1" applyFont="1" applyBorder="1"/>
    <xf numFmtId="165" fontId="0" fillId="0" borderId="5" xfId="1" applyNumberFormat="1" applyFont="1" applyBorder="1" applyAlignment="1">
      <alignment horizontal="center"/>
    </xf>
    <xf numFmtId="165" fontId="4" fillId="0" borderId="5" xfId="1" applyNumberFormat="1" applyFont="1" applyBorder="1" applyAlignment="1">
      <alignment horizontal="center"/>
    </xf>
    <xf numFmtId="165" fontId="4" fillId="0" borderId="0" xfId="1" applyNumberFormat="1" applyFont="1" applyBorder="1" applyAlignment="1">
      <alignment horizontal="center"/>
    </xf>
    <xf numFmtId="165" fontId="4" fillId="0" borderId="5" xfId="1" applyNumberFormat="1" applyFont="1" applyBorder="1" applyAlignment="1"/>
    <xf numFmtId="0" fontId="0" fillId="0" borderId="10" xfId="1" applyNumberFormat="1" applyFont="1" applyBorder="1" applyAlignment="1">
      <alignment horizontal="center"/>
    </xf>
    <xf numFmtId="0" fontId="0" fillId="0" borderId="12" xfId="0" applyFill="1" applyBorder="1"/>
    <xf numFmtId="0" fontId="0" fillId="0" borderId="11" xfId="0" applyFill="1" applyBorder="1"/>
    <xf numFmtId="0" fontId="0" fillId="0" borderId="9" xfId="0" applyFill="1" applyBorder="1"/>
    <xf numFmtId="165" fontId="0" fillId="0" borderId="0" xfId="1" applyNumberFormat="1" applyFont="1" applyFill="1" applyBorder="1"/>
    <xf numFmtId="0" fontId="0" fillId="0" borderId="0" xfId="0" quotePrefix="1" applyBorder="1" applyAlignment="1">
      <alignment horizontal="center"/>
    </xf>
    <xf numFmtId="165" fontId="0" fillId="2" borderId="0" xfId="1" applyNumberFormat="1" applyFont="1" applyFill="1"/>
    <xf numFmtId="0" fontId="0" fillId="0" borderId="0" xfId="0" applyAlignment="1">
      <alignment horizontal="center"/>
    </xf>
    <xf numFmtId="165" fontId="0" fillId="0" borderId="3" xfId="0" applyNumberFormat="1" applyBorder="1"/>
    <xf numFmtId="165" fontId="0" fillId="0" borderId="0" xfId="0" applyNumberFormat="1" applyBorder="1"/>
    <xf numFmtId="0" fontId="0" fillId="0" borderId="13" xfId="0" applyBorder="1"/>
    <xf numFmtId="0" fontId="0" fillId="0" borderId="14" xfId="0" applyBorder="1"/>
    <xf numFmtId="0" fontId="0" fillId="0" borderId="15" xfId="0" applyBorder="1"/>
    <xf numFmtId="165" fontId="0" fillId="0" borderId="14" xfId="0" applyNumberFormat="1" applyBorder="1"/>
    <xf numFmtId="165" fontId="0" fillId="0" borderId="2" xfId="0" applyNumberFormat="1" applyFill="1" applyBorder="1"/>
    <xf numFmtId="0" fontId="0" fillId="0" borderId="4" xfId="0" applyFill="1" applyBorder="1"/>
    <xf numFmtId="165" fontId="0" fillId="0" borderId="13" xfId="0" applyNumberFormat="1" applyBorder="1"/>
    <xf numFmtId="165" fontId="0" fillId="0" borderId="7" xfId="1" applyNumberFormat="1" applyFont="1" applyFill="1" applyBorder="1"/>
    <xf numFmtId="0" fontId="0" fillId="0" borderId="10" xfId="0" applyFill="1" applyBorder="1" applyAlignment="1">
      <alignment horizontal="center"/>
    </xf>
    <xf numFmtId="0" fontId="4" fillId="0" borderId="10" xfId="0" applyFont="1" applyFill="1" applyBorder="1" applyAlignment="1"/>
    <xf numFmtId="165" fontId="2" fillId="0" borderId="11" xfId="1" applyNumberFormat="1" applyFont="1" applyFill="1" applyBorder="1"/>
    <xf numFmtId="165" fontId="0" fillId="0" borderId="10" xfId="0" applyNumberFormat="1" applyFill="1" applyBorder="1"/>
    <xf numFmtId="165" fontId="7" fillId="0" borderId="0" xfId="1" applyNumberFormat="1" applyFont="1" applyFill="1"/>
    <xf numFmtId="0" fontId="11" fillId="0" borderId="0" xfId="2"/>
    <xf numFmtId="0" fontId="5" fillId="0" borderId="0" xfId="0" applyFont="1" applyAlignment="1">
      <alignment horizontal="left" wrapText="1"/>
    </xf>
    <xf numFmtId="0" fontId="10" fillId="0" borderId="6" xfId="0" applyFont="1" applyBorder="1" applyAlignment="1">
      <alignment horizontal="left" wrapText="1"/>
    </xf>
    <xf numFmtId="0" fontId="0" fillId="0" borderId="6" xfId="0" applyBorder="1" applyAlignment="1">
      <alignment horizontal="left" wrapText="1"/>
    </xf>
    <xf numFmtId="0" fontId="0" fillId="0" borderId="6" xfId="0" applyFont="1" applyBorder="1" applyAlignment="1">
      <alignment horizontal="left" wrapText="1"/>
    </xf>
    <xf numFmtId="0" fontId="0" fillId="0" borderId="11" xfId="0" applyBorder="1" applyAlignment="1">
      <alignment horizontal="center"/>
    </xf>
    <xf numFmtId="0" fontId="5" fillId="0" borderId="12" xfId="0" applyFont="1" applyBorder="1" applyAlignment="1">
      <alignment horizontal="left" wrapText="1"/>
    </xf>
    <xf numFmtId="0" fontId="0" fillId="0" borderId="10" xfId="0" applyBorder="1" applyAlignment="1">
      <alignment horizontal="center" vertical="center"/>
    </xf>
    <xf numFmtId="0" fontId="0" fillId="0" borderId="9" xfId="0" applyBorder="1" applyAlignment="1">
      <alignment horizontal="center"/>
    </xf>
    <xf numFmtId="165" fontId="0" fillId="2" borderId="5" xfId="1" applyNumberFormat="1" applyFont="1" applyFill="1" applyBorder="1"/>
    <xf numFmtId="0" fontId="0" fillId="2" borderId="5" xfId="0" applyFill="1" applyBorder="1"/>
    <xf numFmtId="0" fontId="0" fillId="2" borderId="0" xfId="0" applyFill="1" applyBorder="1"/>
    <xf numFmtId="165" fontId="0" fillId="0" borderId="16" xfId="1" applyNumberFormat="1" applyFont="1" applyFill="1" applyBorder="1"/>
    <xf numFmtId="0" fontId="0" fillId="0" borderId="16" xfId="0" applyFill="1" applyBorder="1"/>
    <xf numFmtId="165" fontId="0" fillId="0" borderId="16" xfId="1" applyNumberFormat="1" applyFont="1" applyBorder="1"/>
    <xf numFmtId="165" fontId="0" fillId="0" borderId="0" xfId="0" applyNumberFormat="1" applyAlignment="1">
      <alignment horizontal="center"/>
    </xf>
    <xf numFmtId="9" fontId="0" fillId="0" borderId="10" xfId="7" applyFont="1" applyBorder="1"/>
    <xf numFmtId="167" fontId="0" fillId="0" borderId="11" xfId="1" applyNumberFormat="1" applyFont="1" applyBorder="1"/>
    <xf numFmtId="0" fontId="0" fillId="0" borderId="6" xfId="0" applyFill="1" applyBorder="1"/>
    <xf numFmtId="0" fontId="0" fillId="0" borderId="0" xfId="0" quotePrefix="1" applyFill="1"/>
    <xf numFmtId="0" fontId="0" fillId="0" borderId="11" xfId="0" applyBorder="1" applyAlignment="1">
      <alignment horizontal="center"/>
    </xf>
    <xf numFmtId="0" fontId="4" fillId="0" borderId="9" xfId="0" applyFont="1" applyBorder="1" applyAlignment="1">
      <alignment horizontal="center"/>
    </xf>
    <xf numFmtId="0" fontId="2" fillId="0" borderId="13" xfId="0" applyFont="1" applyBorder="1"/>
    <xf numFmtId="0" fontId="2" fillId="0" borderId="14" xfId="0" applyFont="1" applyBorder="1"/>
    <xf numFmtId="0" fontId="0" fillId="0" borderId="11" xfId="0" applyBorder="1"/>
    <xf numFmtId="0" fontId="0" fillId="0" borderId="11" xfId="0" applyBorder="1" applyAlignment="1">
      <alignment wrapText="1"/>
    </xf>
    <xf numFmtId="0" fontId="0" fillId="2" borderId="0" xfId="0" applyFill="1"/>
    <xf numFmtId="0" fontId="0" fillId="2" borderId="11" xfId="0" applyFill="1" applyBorder="1"/>
    <xf numFmtId="0" fontId="0" fillId="2" borderId="7" xfId="0" applyFill="1" applyBorder="1"/>
    <xf numFmtId="165" fontId="0" fillId="2" borderId="12" xfId="1" applyNumberFormat="1" applyFont="1" applyFill="1" applyBorder="1" applyAlignment="1">
      <alignment vertical="center"/>
    </xf>
    <xf numFmtId="0" fontId="0" fillId="2" borderId="11" xfId="0" applyFill="1" applyBorder="1" applyAlignment="1">
      <alignment wrapText="1"/>
    </xf>
    <xf numFmtId="0" fontId="0" fillId="0" borderId="11" xfId="0" applyBorder="1" applyAlignment="1">
      <alignment horizontal="center" wrapText="1"/>
    </xf>
    <xf numFmtId="165" fontId="0" fillId="0" borderId="11" xfId="1" applyNumberFormat="1"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165" fontId="0" fillId="0" borderId="10" xfId="1" applyNumberFormat="1" applyFont="1" applyBorder="1" applyAlignment="1">
      <alignment horizontal="center" wrapText="1"/>
    </xf>
    <xf numFmtId="0" fontId="0" fillId="0" borderId="2" xfId="0" applyBorder="1" applyAlignment="1">
      <alignment horizontal="right"/>
    </xf>
    <xf numFmtId="165" fontId="0" fillId="0" borderId="10" xfId="0" applyNumberFormat="1" applyBorder="1" applyAlignment="1">
      <alignment horizontal="center" wrapText="1"/>
    </xf>
    <xf numFmtId="0" fontId="0" fillId="0" borderId="11" xfId="0" applyBorder="1" applyAlignment="1">
      <alignment horizontal="center"/>
    </xf>
    <xf numFmtId="0" fontId="4" fillId="0" borderId="2" xfId="0" applyFont="1" applyFill="1" applyBorder="1"/>
    <xf numFmtId="0" fontId="0" fillId="0" borderId="3" xfId="0" applyFill="1" applyBorder="1"/>
    <xf numFmtId="165" fontId="0" fillId="0" borderId="0" xfId="0" applyNumberFormat="1" applyFill="1" applyBorder="1"/>
    <xf numFmtId="0" fontId="0" fillId="0" borderId="5" xfId="0" applyFont="1" applyFill="1" applyBorder="1"/>
    <xf numFmtId="0" fontId="0" fillId="0" borderId="7" xfId="0" applyFill="1" applyBorder="1"/>
    <xf numFmtId="0" fontId="0" fillId="0" borderId="1" xfId="0" applyFill="1" applyBorder="1"/>
    <xf numFmtId="0" fontId="0" fillId="0" borderId="2" xfId="0" applyFill="1" applyBorder="1"/>
    <xf numFmtId="0" fontId="0" fillId="0" borderId="3" xfId="0" quotePrefix="1" applyFill="1" applyBorder="1" applyAlignment="1">
      <alignment horizontal="center"/>
    </xf>
    <xf numFmtId="0" fontId="2" fillId="0" borderId="0" xfId="0" applyFont="1" applyFill="1"/>
    <xf numFmtId="165" fontId="0" fillId="0" borderId="12" xfId="0" applyNumberFormat="1" applyBorder="1"/>
    <xf numFmtId="168" fontId="0" fillId="0" borderId="0" xfId="7" applyNumberFormat="1" applyFont="1"/>
    <xf numFmtId="165" fontId="0" fillId="0" borderId="5" xfId="0" applyNumberFormat="1" applyFill="1" applyBorder="1"/>
    <xf numFmtId="0" fontId="2" fillId="0" borderId="5" xfId="0" applyFont="1" applyFill="1" applyBorder="1"/>
    <xf numFmtId="165" fontId="0" fillId="3" borderId="10" xfId="1" applyNumberFormat="1" applyFont="1" applyFill="1" applyBorder="1"/>
    <xf numFmtId="165" fontId="0" fillId="0" borderId="6" xfId="1" applyNumberFormat="1" applyFont="1" applyFill="1" applyBorder="1"/>
    <xf numFmtId="0" fontId="14" fillId="0" borderId="5" xfId="0" applyFont="1" applyFill="1" applyBorder="1"/>
    <xf numFmtId="165" fontId="14" fillId="0" borderId="10" xfId="1" applyNumberFormat="1" applyFont="1" applyFill="1" applyBorder="1"/>
    <xf numFmtId="0" fontId="0" fillId="0" borderId="0" xfId="0" quotePrefix="1" applyFill="1" applyBorder="1" applyAlignment="1">
      <alignment horizontal="center"/>
    </xf>
    <xf numFmtId="0" fontId="14" fillId="0" borderId="0" xfId="0" applyFont="1" applyFill="1" applyBorder="1"/>
    <xf numFmtId="165" fontId="0" fillId="4" borderId="5" xfId="1" applyNumberFormat="1" applyFont="1" applyFill="1" applyBorder="1"/>
    <xf numFmtId="165" fontId="0" fillId="4" borderId="12" xfId="1" applyNumberFormat="1" applyFont="1" applyFill="1" applyBorder="1"/>
    <xf numFmtId="165" fontId="0" fillId="2" borderId="9" xfId="1" applyNumberFormat="1" applyFont="1" applyFill="1" applyBorder="1"/>
    <xf numFmtId="165" fontId="0" fillId="4" borderId="9" xfId="1" applyNumberFormat="1" applyFont="1" applyFill="1" applyBorder="1"/>
    <xf numFmtId="165" fontId="0" fillId="4" borderId="11" xfId="1" applyNumberFormat="1" applyFont="1" applyFill="1" applyBorder="1"/>
    <xf numFmtId="165" fontId="0" fillId="4" borderId="10" xfId="1" applyNumberFormat="1" applyFont="1" applyFill="1" applyBorder="1"/>
    <xf numFmtId="165" fontId="0" fillId="4" borderId="16" xfId="1" applyNumberFormat="1" applyFont="1" applyFill="1" applyBorder="1"/>
    <xf numFmtId="0" fontId="14" fillId="0" borderId="0" xfId="0" applyFont="1" applyFill="1"/>
    <xf numFmtId="165" fontId="14" fillId="0" borderId="0" xfId="1" applyNumberFormat="1" applyFont="1" applyFill="1"/>
    <xf numFmtId="0" fontId="14" fillId="0" borderId="0" xfId="0" applyFont="1"/>
    <xf numFmtId="0" fontId="0" fillId="0" borderId="7" xfId="0" quotePrefix="1" applyFill="1" applyBorder="1"/>
    <xf numFmtId="9" fontId="0" fillId="0" borderId="0" xfId="7" applyFont="1"/>
    <xf numFmtId="165" fontId="4" fillId="0" borderId="10" xfId="1" applyNumberFormat="1" applyFont="1" applyFill="1" applyBorder="1" applyAlignment="1">
      <alignment horizontal="center"/>
    </xf>
    <xf numFmtId="165" fontId="2" fillId="0" borderId="12" xfId="1" applyNumberFormat="1" applyFont="1" applyFill="1" applyBorder="1"/>
    <xf numFmtId="165" fontId="0" fillId="0" borderId="3" xfId="1" applyNumberFormat="1" applyFont="1" applyFill="1" applyBorder="1"/>
    <xf numFmtId="0" fontId="15" fillId="0" borderId="0" xfId="0" applyFont="1" applyBorder="1"/>
    <xf numFmtId="0" fontId="8" fillId="0" borderId="0" xfId="0" applyFont="1" applyBorder="1"/>
    <xf numFmtId="0" fontId="5" fillId="0" borderId="13" xfId="0" applyFont="1" applyBorder="1"/>
    <xf numFmtId="0" fontId="6" fillId="0" borderId="13" xfId="0" applyFont="1" applyBorder="1"/>
    <xf numFmtId="164" fontId="0" fillId="0" borderId="9" xfId="1" applyFont="1" applyBorder="1"/>
    <xf numFmtId="0" fontId="0" fillId="0" borderId="11" xfId="0" applyBorder="1" applyAlignment="1">
      <alignment horizontal="center"/>
    </xf>
    <xf numFmtId="0" fontId="5" fillId="0" borderId="0" xfId="0" applyFont="1" applyAlignment="1">
      <alignment horizontal="left" wrapText="1"/>
    </xf>
    <xf numFmtId="0" fontId="9" fillId="0" borderId="5" xfId="0" applyFont="1" applyFill="1" applyBorder="1"/>
    <xf numFmtId="165" fontId="14" fillId="2" borderId="0" xfId="1" applyNumberFormat="1" applyFont="1" applyFill="1"/>
    <xf numFmtId="165" fontId="0" fillId="0" borderId="12" xfId="0" applyNumberFormat="1" applyFill="1" applyBorder="1"/>
    <xf numFmtId="165" fontId="10" fillId="0" borderId="9" xfId="0" applyNumberFormat="1" applyFont="1" applyFill="1" applyBorder="1"/>
    <xf numFmtId="0" fontId="4" fillId="2" borderId="5" xfId="0" applyFont="1" applyFill="1" applyBorder="1"/>
    <xf numFmtId="165" fontId="8" fillId="0" borderId="3" xfId="1" applyNumberFormat="1" applyFont="1" applyFill="1" applyBorder="1"/>
    <xf numFmtId="165" fontId="4" fillId="0" borderId="0" xfId="1" applyNumberFormat="1" applyFont="1"/>
    <xf numFmtId="0" fontId="5" fillId="0" borderId="0" xfId="0" applyFont="1" applyAlignment="1">
      <alignment horizontal="left" wrapText="1"/>
    </xf>
    <xf numFmtId="0" fontId="10" fillId="0" borderId="0" xfId="0" applyFont="1" applyAlignment="1">
      <alignment horizontal="left" wrapText="1"/>
    </xf>
    <xf numFmtId="0" fontId="10" fillId="0" borderId="6" xfId="0" applyFont="1"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5" xfId="0" applyFont="1" applyBorder="1" applyAlignment="1">
      <alignment horizontal="left" wrapText="1"/>
    </xf>
    <xf numFmtId="0" fontId="0" fillId="0" borderId="0" xfId="0" applyFont="1" applyBorder="1" applyAlignment="1">
      <alignment horizontal="left" wrapText="1"/>
    </xf>
    <xf numFmtId="0" fontId="0" fillId="0" borderId="6" xfId="0" applyFont="1" applyBorder="1" applyAlignment="1">
      <alignment horizontal="left" wrapText="1"/>
    </xf>
    <xf numFmtId="0" fontId="8" fillId="0" borderId="5" xfId="0" applyFont="1" applyFill="1" applyBorder="1" applyAlignment="1">
      <alignment horizontal="left" wrapText="1"/>
    </xf>
    <xf numFmtId="0" fontId="8" fillId="0" borderId="0" xfId="0" applyFont="1" applyFill="1" applyBorder="1" applyAlignment="1">
      <alignment horizontal="left" wrapText="1"/>
    </xf>
    <xf numFmtId="0" fontId="8" fillId="0" borderId="6" xfId="0" applyFont="1" applyFill="1" applyBorder="1" applyAlignment="1">
      <alignment horizontal="left" wrapText="1"/>
    </xf>
    <xf numFmtId="0" fontId="10" fillId="0" borderId="5" xfId="0" applyFont="1" applyFill="1" applyBorder="1" applyAlignment="1">
      <alignment horizontal="left" wrapText="1"/>
    </xf>
    <xf numFmtId="0" fontId="10" fillId="0" borderId="0" xfId="0" applyFont="1" applyFill="1" applyBorder="1" applyAlignment="1">
      <alignment horizontal="left" wrapText="1"/>
    </xf>
    <xf numFmtId="0" fontId="10" fillId="0" borderId="6" xfId="0" applyFont="1" applyFill="1" applyBorder="1" applyAlignment="1">
      <alignment horizontal="left" wrapText="1"/>
    </xf>
    <xf numFmtId="0" fontId="0" fillId="0" borderId="5" xfId="0" applyFill="1" applyBorder="1" applyAlignment="1">
      <alignment horizontal="left"/>
    </xf>
    <xf numFmtId="0" fontId="0" fillId="0" borderId="0" xfId="0" applyFill="1" applyBorder="1" applyAlignment="1">
      <alignment horizontal="left"/>
    </xf>
    <xf numFmtId="0" fontId="0" fillId="0" borderId="6" xfId="0" applyFill="1" applyBorder="1" applyAlignment="1">
      <alignment horizontal="left"/>
    </xf>
    <xf numFmtId="165" fontId="0" fillId="0" borderId="3" xfId="1" applyNumberFormat="1" applyFont="1" applyBorder="1" applyAlignment="1">
      <alignment horizontal="center"/>
    </xf>
    <xf numFmtId="165" fontId="0" fillId="0" borderId="0" xfId="1" applyNumberFormat="1" applyFont="1" applyAlignment="1">
      <alignment horizontal="center"/>
    </xf>
    <xf numFmtId="0" fontId="0" fillId="0" borderId="11" xfId="0" applyBorder="1" applyAlignment="1">
      <alignment horizontal="center"/>
    </xf>
    <xf numFmtId="0" fontId="0" fillId="0" borderId="11" xfId="0" applyFill="1" applyBorder="1" applyAlignment="1">
      <alignment horizontal="center"/>
    </xf>
    <xf numFmtId="0" fontId="0" fillId="0" borderId="5" xfId="0" applyBorder="1" applyAlignment="1">
      <alignment horizontal="left" wrapText="1"/>
    </xf>
    <xf numFmtId="0" fontId="0" fillId="0" borderId="1" xfId="0" applyBorder="1" applyAlignment="1">
      <alignment horizontal="center"/>
    </xf>
    <xf numFmtId="0" fontId="0" fillId="0" borderId="8" xfId="0" applyBorder="1" applyAlignment="1">
      <alignment horizontal="center"/>
    </xf>
    <xf numFmtId="0" fontId="0" fillId="2" borderId="1" xfId="0" applyFill="1" applyBorder="1" applyAlignment="1">
      <alignment horizontal="left" vertical="center" wrapText="1"/>
    </xf>
    <xf numFmtId="0" fontId="0" fillId="2" borderId="8" xfId="0" applyFill="1"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cellXfs>
  <cellStyles count="8">
    <cellStyle name="Comma" xfId="1" builtinId="3"/>
    <cellStyle name="Comma 2" xfId="3" xr:uid="{00000000-0005-0000-0000-000000000000}"/>
    <cellStyle name="Hyperlink" xfId="2" builtinId="8"/>
    <cellStyle name="Millares 10" xfId="5" xr:uid="{00000000-0005-0000-0000-000003000000}"/>
    <cellStyle name="Millares 11" xfId="4" xr:uid="{00000000-0005-0000-0000-000004000000}"/>
    <cellStyle name="Normal" xfId="0" builtinId="0"/>
    <cellStyle name="Normal 4" xfId="6" xr:uid="{00000000-0005-0000-0000-000006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workbookViewId="0">
      <selection activeCell="C12" sqref="C12"/>
    </sheetView>
  </sheetViews>
  <sheetFormatPr defaultColWidth="9.140625" defaultRowHeight="15" x14ac:dyDescent="0.25"/>
  <cols>
    <col min="2" max="2" width="2.5703125" bestFit="1" customWidth="1"/>
    <col min="3" max="3" width="59" bestFit="1" customWidth="1"/>
  </cols>
  <sheetData>
    <row r="3" spans="2:3" x14ac:dyDescent="0.25">
      <c r="B3" t="s">
        <v>243</v>
      </c>
      <c r="C3" s="94" t="s">
        <v>145</v>
      </c>
    </row>
    <row r="4" spans="2:3" x14ac:dyDescent="0.25">
      <c r="B4" t="s">
        <v>247</v>
      </c>
      <c r="C4" s="94" t="s">
        <v>244</v>
      </c>
    </row>
    <row r="5" spans="2:3" x14ac:dyDescent="0.25">
      <c r="B5" t="s">
        <v>248</v>
      </c>
      <c r="C5" s="94" t="s">
        <v>245</v>
      </c>
    </row>
    <row r="6" spans="2:3" x14ac:dyDescent="0.25">
      <c r="B6" t="s">
        <v>249</v>
      </c>
      <c r="C6" s="94" t="s">
        <v>246</v>
      </c>
    </row>
    <row r="7" spans="2:3" x14ac:dyDescent="0.25">
      <c r="B7" t="s">
        <v>250</v>
      </c>
      <c r="C7" s="94" t="s">
        <v>251</v>
      </c>
    </row>
    <row r="8" spans="2:3" x14ac:dyDescent="0.25">
      <c r="B8" t="s">
        <v>252</v>
      </c>
      <c r="C8" s="94" t="s">
        <v>253</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5"/>
  <sheetViews>
    <sheetView workbookViewId="0">
      <selection activeCell="E9" sqref="E9"/>
    </sheetView>
  </sheetViews>
  <sheetFormatPr defaultColWidth="11.42578125" defaultRowHeight="15" x14ac:dyDescent="0.25"/>
  <cols>
    <col min="5" max="5" width="11.5703125" bestFit="1" customWidth="1"/>
  </cols>
  <sheetData>
    <row r="3" spans="2:5" x14ac:dyDescent="0.25">
      <c r="B3" t="s">
        <v>240</v>
      </c>
      <c r="E3" s="4">
        <f>+'PP&amp;E'!E18</f>
        <v>1475332</v>
      </c>
    </row>
    <row r="4" spans="2:5" x14ac:dyDescent="0.25">
      <c r="B4" t="s">
        <v>241</v>
      </c>
      <c r="E4" s="4">
        <f>+'PP&amp;E'!D18</f>
        <v>5700370</v>
      </c>
    </row>
    <row r="5" spans="2:5" x14ac:dyDescent="0.25">
      <c r="B5" t="s">
        <v>242</v>
      </c>
      <c r="E5" s="4">
        <f>+'PP&amp;E'!C18</f>
        <v>15846166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A1:T78"/>
  <sheetViews>
    <sheetView zoomScaleNormal="100" workbookViewId="0">
      <pane xSplit="3" ySplit="5" topLeftCell="D65" activePane="bottomRight" state="frozen"/>
      <selection pane="topRight" activeCell="F1" sqref="F1"/>
      <selection pane="bottomLeft" activeCell="A6" sqref="A6"/>
      <selection pane="bottomRight" activeCell="B79" sqref="B79"/>
    </sheetView>
  </sheetViews>
  <sheetFormatPr defaultColWidth="11.42578125" defaultRowHeight="15" x14ac:dyDescent="0.25"/>
  <cols>
    <col min="1" max="1" width="2.85546875" customWidth="1"/>
    <col min="3" max="3" width="30.5703125" customWidth="1"/>
    <col min="4" max="4" width="12.5703125" bestFit="1" customWidth="1"/>
    <col min="5" max="5" width="11.85546875" customWidth="1"/>
    <col min="6" max="6" width="12.5703125" bestFit="1" customWidth="1"/>
    <col min="7" max="7" width="14.140625" bestFit="1" customWidth="1"/>
    <col min="8" max="8" width="12.5703125" bestFit="1" customWidth="1"/>
    <col min="9" max="9" width="1.42578125" customWidth="1"/>
    <col min="10" max="10" width="13.28515625" customWidth="1"/>
    <col min="11" max="11" width="12.140625" bestFit="1" customWidth="1"/>
    <col min="12" max="12" width="12.85546875" customWidth="1"/>
    <col min="13" max="13" width="14" bestFit="1" customWidth="1"/>
    <col min="14" max="14" width="13.42578125" bestFit="1" customWidth="1"/>
    <col min="15" max="15" width="2.7109375" hidden="1" customWidth="1"/>
    <col min="16" max="18" width="12.28515625" style="4" hidden="1" customWidth="1"/>
    <col min="19" max="19" width="12.7109375" style="4" hidden="1" customWidth="1"/>
    <col min="20" max="20" width="12.28515625" style="4" hidden="1" customWidth="1"/>
    <col min="21" max="21" width="2.7109375" customWidth="1"/>
  </cols>
  <sheetData>
    <row r="1" spans="1:20" x14ac:dyDescent="0.25">
      <c r="A1" s="2" t="s">
        <v>0</v>
      </c>
    </row>
    <row r="2" spans="1:20" x14ac:dyDescent="0.25">
      <c r="A2" s="1" t="s">
        <v>145</v>
      </c>
    </row>
    <row r="3" spans="1:20" x14ac:dyDescent="0.25">
      <c r="A3" s="1" t="s">
        <v>356</v>
      </c>
      <c r="D3" s="66"/>
      <c r="E3" s="23"/>
      <c r="F3" s="63"/>
      <c r="G3" s="66"/>
      <c r="H3" s="23"/>
      <c r="J3" s="66"/>
      <c r="K3" s="23"/>
      <c r="L3" s="63"/>
      <c r="M3" s="66"/>
      <c r="N3" s="23"/>
      <c r="P3" s="66"/>
      <c r="Q3" s="23"/>
      <c r="R3" s="63"/>
      <c r="S3" s="66"/>
      <c r="T3" s="23"/>
    </row>
    <row r="4" spans="1:20" x14ac:dyDescent="0.25">
      <c r="A4" s="3" t="s">
        <v>18</v>
      </c>
      <c r="D4" s="59"/>
      <c r="E4" s="19"/>
      <c r="F4" s="61"/>
      <c r="G4" s="67" t="s">
        <v>51</v>
      </c>
      <c r="H4" s="71">
        <v>2019</v>
      </c>
      <c r="J4" s="59"/>
      <c r="K4" s="19"/>
      <c r="L4" s="61"/>
      <c r="M4" s="67" t="s">
        <v>51</v>
      </c>
      <c r="N4" s="71">
        <v>2018</v>
      </c>
      <c r="P4" s="59"/>
      <c r="Q4" s="19"/>
      <c r="R4" s="61"/>
      <c r="S4" s="67" t="s">
        <v>51</v>
      </c>
      <c r="T4" s="71">
        <v>2017</v>
      </c>
    </row>
    <row r="5" spans="1:20" x14ac:dyDescent="0.25">
      <c r="D5" s="68" t="s">
        <v>15</v>
      </c>
      <c r="E5" s="25" t="s">
        <v>16</v>
      </c>
      <c r="F5" s="69" t="s">
        <v>17</v>
      </c>
      <c r="G5" s="70" t="s">
        <v>149</v>
      </c>
      <c r="H5" s="25" t="s">
        <v>148</v>
      </c>
      <c r="J5" s="68" t="s">
        <v>15</v>
      </c>
      <c r="K5" s="25" t="s">
        <v>16</v>
      </c>
      <c r="L5" s="69" t="s">
        <v>17</v>
      </c>
      <c r="M5" s="70" t="s">
        <v>149</v>
      </c>
      <c r="N5" s="25" t="s">
        <v>148</v>
      </c>
      <c r="P5" s="68" t="s">
        <v>15</v>
      </c>
      <c r="Q5" s="25" t="s">
        <v>16</v>
      </c>
      <c r="R5" s="69" t="s">
        <v>17</v>
      </c>
      <c r="S5" s="70" t="s">
        <v>149</v>
      </c>
      <c r="T5" s="25" t="s">
        <v>148</v>
      </c>
    </row>
    <row r="6" spans="1:20" x14ac:dyDescent="0.25">
      <c r="C6" t="s">
        <v>1</v>
      </c>
      <c r="D6" s="14"/>
      <c r="E6" s="14"/>
      <c r="F6" s="14"/>
      <c r="G6" s="14"/>
      <c r="H6" s="14"/>
      <c r="J6" s="14"/>
      <c r="K6" s="14"/>
      <c r="L6" s="14"/>
      <c r="M6" s="14"/>
      <c r="N6" s="14"/>
      <c r="P6" s="59"/>
      <c r="Q6" s="23"/>
      <c r="R6" s="61"/>
      <c r="S6" s="59"/>
      <c r="T6" s="19"/>
    </row>
    <row r="7" spans="1:20" x14ac:dyDescent="0.25">
      <c r="A7" s="1" t="s">
        <v>2</v>
      </c>
      <c r="D7" s="59"/>
      <c r="E7" s="15"/>
      <c r="F7" s="15"/>
      <c r="G7" s="15"/>
      <c r="H7" s="15"/>
      <c r="J7" s="59"/>
      <c r="K7" s="15"/>
      <c r="L7" s="15"/>
      <c r="M7" s="15"/>
      <c r="N7" s="15"/>
      <c r="P7" s="59"/>
      <c r="Q7" s="19"/>
      <c r="R7" s="61"/>
      <c r="S7" s="59"/>
      <c r="T7" s="19"/>
    </row>
    <row r="8" spans="1:20" x14ac:dyDescent="0.25">
      <c r="B8" t="s">
        <v>3</v>
      </c>
      <c r="D8" s="59">
        <v>5665127</v>
      </c>
      <c r="E8" s="59">
        <v>1956404</v>
      </c>
      <c r="F8" s="19">
        <f t="shared" ref="F8:F10" si="0">+D8+E8</f>
        <v>7621531</v>
      </c>
      <c r="G8" s="15"/>
      <c r="H8" s="19">
        <f>+F8+G8</f>
        <v>7621531</v>
      </c>
      <c r="J8" s="59">
        <v>579547</v>
      </c>
      <c r="K8" s="59">
        <v>7367583</v>
      </c>
      <c r="L8" s="19">
        <f t="shared" ref="L8:L17" si="1">+J8+K8</f>
        <v>7947130</v>
      </c>
      <c r="M8" s="15"/>
      <c r="N8" s="19">
        <f>+L8+M8</f>
        <v>7947130</v>
      </c>
      <c r="P8" s="59">
        <v>1607132</v>
      </c>
      <c r="Q8" s="19">
        <v>585324</v>
      </c>
      <c r="R8" s="4">
        <f>P8+Q8</f>
        <v>2192456</v>
      </c>
      <c r="S8" s="59"/>
      <c r="T8" s="19">
        <f>+R8+S8</f>
        <v>2192456</v>
      </c>
    </row>
    <row r="9" spans="1:20" x14ac:dyDescent="0.25">
      <c r="B9" t="s">
        <v>4</v>
      </c>
      <c r="D9" s="59">
        <v>3358789</v>
      </c>
      <c r="E9" s="59"/>
      <c r="F9" s="19">
        <f t="shared" si="0"/>
        <v>3358789</v>
      </c>
      <c r="G9" s="15"/>
      <c r="H9" s="19">
        <f t="shared" ref="H9:H10" si="2">+F9+G9</f>
        <v>3358789</v>
      </c>
      <c r="J9" s="59">
        <v>72811</v>
      </c>
      <c r="K9" s="59">
        <v>205582</v>
      </c>
      <c r="L9" s="19">
        <f t="shared" si="1"/>
        <v>278393</v>
      </c>
      <c r="M9" s="15"/>
      <c r="N9" s="19">
        <f t="shared" ref="N9:N17" si="3">+L9+M9</f>
        <v>278393</v>
      </c>
      <c r="P9" s="59">
        <v>102620</v>
      </c>
      <c r="Q9" s="15"/>
      <c r="R9" s="4">
        <f t="shared" ref="R9:R18" si="4">P9+Q9</f>
        <v>102620</v>
      </c>
      <c r="S9" s="59"/>
      <c r="T9" s="19">
        <f>+R9+S9</f>
        <v>102620</v>
      </c>
    </row>
    <row r="10" spans="1:20" x14ac:dyDescent="0.25">
      <c r="B10" t="s">
        <v>5</v>
      </c>
      <c r="D10" s="59">
        <v>1192213</v>
      </c>
      <c r="E10" s="59"/>
      <c r="F10" s="19">
        <f t="shared" si="0"/>
        <v>1192213</v>
      </c>
      <c r="G10" s="15"/>
      <c r="H10" s="19">
        <f t="shared" si="2"/>
        <v>1192213</v>
      </c>
      <c r="J10" s="59">
        <v>2393444.3199999998</v>
      </c>
      <c r="K10" s="59">
        <v>0</v>
      </c>
      <c r="L10" s="19">
        <f t="shared" si="1"/>
        <v>2393444.3199999998</v>
      </c>
      <c r="M10" s="15"/>
      <c r="N10" s="19">
        <f t="shared" si="3"/>
        <v>2393444.3199999998</v>
      </c>
      <c r="P10" s="59">
        <v>2644455</v>
      </c>
      <c r="Q10" s="15"/>
      <c r="R10" s="4">
        <f t="shared" si="4"/>
        <v>2644455</v>
      </c>
      <c r="S10" s="59"/>
      <c r="T10" s="19">
        <f>+R10+S10</f>
        <v>2644455</v>
      </c>
    </row>
    <row r="11" spans="1:20" x14ac:dyDescent="0.25">
      <c r="B11" t="s">
        <v>6</v>
      </c>
      <c r="D11" s="59"/>
      <c r="E11" s="59"/>
      <c r="F11" s="19"/>
      <c r="G11" s="15"/>
      <c r="H11" s="19"/>
      <c r="J11" s="59"/>
      <c r="K11" s="59"/>
      <c r="L11" s="19"/>
      <c r="M11" s="15"/>
      <c r="N11" s="19"/>
      <c r="P11" s="59"/>
      <c r="Q11" s="15"/>
      <c r="R11" s="4">
        <f t="shared" si="4"/>
        <v>0</v>
      </c>
      <c r="S11" s="59"/>
      <c r="T11" s="19"/>
    </row>
    <row r="12" spans="1:20" x14ac:dyDescent="0.25">
      <c r="B12" t="s">
        <v>7</v>
      </c>
      <c r="D12" s="59">
        <v>40971342</v>
      </c>
      <c r="E12" s="59">
        <v>2517669</v>
      </c>
      <c r="F12" s="19">
        <f t="shared" ref="F12:F17" si="5">+D12+E12</f>
        <v>43489011</v>
      </c>
      <c r="G12" s="15"/>
      <c r="H12" s="19">
        <f t="shared" ref="H12:H17" si="6">+F12+G12</f>
        <v>43489011</v>
      </c>
      <c r="J12" s="59">
        <v>7451465</v>
      </c>
      <c r="K12" s="59">
        <v>1366582</v>
      </c>
      <c r="L12" s="19">
        <f t="shared" si="1"/>
        <v>8818047</v>
      </c>
      <c r="M12" s="15"/>
      <c r="N12" s="19">
        <f t="shared" si="3"/>
        <v>8818047</v>
      </c>
      <c r="P12" s="59">
        <v>10565005</v>
      </c>
      <c r="Q12" s="19">
        <v>1247603</v>
      </c>
      <c r="R12" s="4">
        <f t="shared" si="4"/>
        <v>11812608</v>
      </c>
      <c r="S12" s="59"/>
      <c r="T12" s="19">
        <f t="shared" ref="T12:T17" si="7">+R12+S12</f>
        <v>11812608</v>
      </c>
    </row>
    <row r="13" spans="1:20" x14ac:dyDescent="0.25">
      <c r="B13" t="s">
        <v>8</v>
      </c>
      <c r="D13" s="59">
        <v>2607171</v>
      </c>
      <c r="E13" s="59">
        <v>19912295</v>
      </c>
      <c r="F13" s="19">
        <f t="shared" si="5"/>
        <v>22519466</v>
      </c>
      <c r="G13" s="39">
        <f>-AD!H17-AD!H35</f>
        <v>-34305534</v>
      </c>
      <c r="H13" s="64">
        <f t="shared" si="6"/>
        <v>-11786068</v>
      </c>
      <c r="J13" s="59">
        <v>43714969</v>
      </c>
      <c r="K13" s="59">
        <v>10949927</v>
      </c>
      <c r="L13" s="19">
        <f t="shared" si="1"/>
        <v>54664896</v>
      </c>
      <c r="M13" s="39">
        <f>-AD!J17-AD!J35</f>
        <v>-21714706</v>
      </c>
      <c r="N13" s="19">
        <f t="shared" si="3"/>
        <v>32950190</v>
      </c>
      <c r="P13" s="59">
        <v>32908556</v>
      </c>
      <c r="Q13" s="19">
        <v>5055818</v>
      </c>
      <c r="R13" s="4">
        <f t="shared" si="4"/>
        <v>37964374</v>
      </c>
      <c r="S13" s="59">
        <f>-AD!L17-AD!L35</f>
        <v>-10306018</v>
      </c>
      <c r="T13" s="19">
        <f t="shared" si="7"/>
        <v>27658356</v>
      </c>
    </row>
    <row r="14" spans="1:20" x14ac:dyDescent="0.25">
      <c r="B14" t="s">
        <v>9</v>
      </c>
      <c r="D14" s="59">
        <v>23955811</v>
      </c>
      <c r="E14" s="59">
        <f>1181203+720</f>
        <v>1181923</v>
      </c>
      <c r="F14" s="19">
        <f t="shared" si="5"/>
        <v>25137734</v>
      </c>
      <c r="G14" s="15"/>
      <c r="H14" s="19">
        <f t="shared" si="6"/>
        <v>25137734</v>
      </c>
      <c r="J14" s="59">
        <v>4870336</v>
      </c>
      <c r="K14" s="59">
        <v>239551</v>
      </c>
      <c r="L14" s="19">
        <f t="shared" si="1"/>
        <v>5109887</v>
      </c>
      <c r="M14" s="15"/>
      <c r="N14" s="19">
        <f t="shared" si="3"/>
        <v>5109887</v>
      </c>
      <c r="P14" s="59">
        <v>5481731</v>
      </c>
      <c r="Q14" s="19">
        <v>156705</v>
      </c>
      <c r="R14" s="4">
        <f t="shared" si="4"/>
        <v>5638436</v>
      </c>
      <c r="S14" s="59"/>
      <c r="T14" s="19">
        <f t="shared" si="7"/>
        <v>5638436</v>
      </c>
    </row>
    <row r="15" spans="1:20" x14ac:dyDescent="0.25">
      <c r="B15" t="s">
        <v>10</v>
      </c>
      <c r="D15" s="59">
        <v>3608638</v>
      </c>
      <c r="E15" s="59">
        <v>1969204</v>
      </c>
      <c r="F15" s="19">
        <f t="shared" si="5"/>
        <v>5577842</v>
      </c>
      <c r="G15" s="15"/>
      <c r="H15" s="19">
        <f t="shared" si="6"/>
        <v>5577842</v>
      </c>
      <c r="J15" s="59">
        <v>4638</v>
      </c>
      <c r="K15" s="59">
        <v>3683823</v>
      </c>
      <c r="L15" s="19">
        <f t="shared" si="1"/>
        <v>3688461</v>
      </c>
      <c r="M15" s="15"/>
      <c r="N15" s="19">
        <f t="shared" si="3"/>
        <v>3688461</v>
      </c>
      <c r="P15" s="59">
        <v>480186</v>
      </c>
      <c r="Q15" s="19">
        <v>1484699</v>
      </c>
      <c r="R15" s="4">
        <f t="shared" si="4"/>
        <v>1964885</v>
      </c>
      <c r="S15" s="59"/>
      <c r="T15" s="19">
        <f t="shared" si="7"/>
        <v>1964885</v>
      </c>
    </row>
    <row r="16" spans="1:20" x14ac:dyDescent="0.25">
      <c r="B16" t="s">
        <v>11</v>
      </c>
      <c r="D16" s="59">
        <v>766482</v>
      </c>
      <c r="E16" s="59"/>
      <c r="F16" s="19">
        <f t="shared" si="5"/>
        <v>766482</v>
      </c>
      <c r="G16" s="15"/>
      <c r="H16" s="19">
        <f t="shared" si="6"/>
        <v>766482</v>
      </c>
      <c r="J16" s="59">
        <v>501034</v>
      </c>
      <c r="K16" s="59">
        <v>0</v>
      </c>
      <c r="L16" s="19">
        <f t="shared" si="1"/>
        <v>501034</v>
      </c>
      <c r="M16" s="15"/>
      <c r="N16" s="19">
        <f t="shared" si="3"/>
        <v>501034</v>
      </c>
      <c r="P16" s="59">
        <v>625964</v>
      </c>
      <c r="Q16" s="15"/>
      <c r="R16" s="4">
        <f t="shared" si="4"/>
        <v>625964</v>
      </c>
      <c r="S16" s="51">
        <f>-AD!N51-AD!N24</f>
        <v>0</v>
      </c>
      <c r="T16" s="39">
        <f t="shared" si="7"/>
        <v>625964</v>
      </c>
    </row>
    <row r="17" spans="1:20" x14ac:dyDescent="0.25">
      <c r="B17" t="s">
        <v>12</v>
      </c>
      <c r="D17" s="59">
        <v>27402429</v>
      </c>
      <c r="E17" s="59"/>
      <c r="F17" s="19">
        <f t="shared" si="5"/>
        <v>27402429</v>
      </c>
      <c r="G17" s="15"/>
      <c r="H17" s="19">
        <f t="shared" si="6"/>
        <v>27402429</v>
      </c>
      <c r="J17" s="59">
        <v>23914705.34</v>
      </c>
      <c r="K17" s="59">
        <v>0</v>
      </c>
      <c r="L17" s="19">
        <f t="shared" si="1"/>
        <v>23914705.34</v>
      </c>
      <c r="M17" s="15"/>
      <c r="N17" s="19">
        <f t="shared" si="3"/>
        <v>23914705.34</v>
      </c>
      <c r="P17" s="59">
        <v>14883321</v>
      </c>
      <c r="Q17" s="15"/>
      <c r="R17" s="4">
        <f t="shared" si="4"/>
        <v>14883321</v>
      </c>
      <c r="S17" s="59"/>
      <c r="T17" s="19">
        <f t="shared" si="7"/>
        <v>14883321</v>
      </c>
    </row>
    <row r="18" spans="1:20" x14ac:dyDescent="0.25">
      <c r="A18" s="1" t="s">
        <v>14</v>
      </c>
      <c r="D18" s="20">
        <f>SUM(D8:D17)</f>
        <v>109528002</v>
      </c>
      <c r="E18" s="20">
        <f>SUM(E8:E17)</f>
        <v>27537495</v>
      </c>
      <c r="F18" s="20">
        <f>SUM(F8:F17)</f>
        <v>137065497</v>
      </c>
      <c r="G18" s="20">
        <f>SUM(G8:G17)</f>
        <v>-34305534</v>
      </c>
      <c r="H18" s="20">
        <f>SUM(H8:H17)</f>
        <v>102759963</v>
      </c>
      <c r="J18" s="20">
        <f>SUM(J8:J17)</f>
        <v>83502949.659999996</v>
      </c>
      <c r="K18" s="20">
        <f>SUM(K8:K17)</f>
        <v>23813048</v>
      </c>
      <c r="L18" s="20">
        <f>SUM(L8:L17)</f>
        <v>107315997.66</v>
      </c>
      <c r="M18" s="20">
        <f>SUM(M8:M17)</f>
        <v>-21714706</v>
      </c>
      <c r="N18" s="20">
        <f>SUM(N8:N17)</f>
        <v>85601291.659999996</v>
      </c>
      <c r="P18" s="20">
        <f>SUM(P8:P17)</f>
        <v>69298970</v>
      </c>
      <c r="Q18" s="20">
        <f>SUM(Q8:Q17)</f>
        <v>8530149</v>
      </c>
      <c r="R18" s="20">
        <f t="shared" si="4"/>
        <v>77829119</v>
      </c>
      <c r="S18" s="20">
        <f>SUM(S8:S17)</f>
        <v>-10306018</v>
      </c>
      <c r="T18" s="20">
        <f>SUM(T8:T17)</f>
        <v>67523101</v>
      </c>
    </row>
    <row r="19" spans="1:20" x14ac:dyDescent="0.25">
      <c r="D19" s="14"/>
      <c r="E19" s="32"/>
      <c r="F19" s="14"/>
      <c r="G19" s="14"/>
      <c r="H19" s="14"/>
      <c r="J19" s="14"/>
      <c r="K19" s="14"/>
      <c r="L19" s="14"/>
      <c r="M19" s="14"/>
      <c r="N19" s="14"/>
      <c r="P19" s="59"/>
      <c r="Q19" s="19"/>
      <c r="R19" s="61"/>
      <c r="S19" s="59"/>
      <c r="T19" s="19"/>
    </row>
    <row r="20" spans="1:20" ht="27" hidden="1" customHeight="1" x14ac:dyDescent="0.25">
      <c r="A20" s="183" t="s">
        <v>73</v>
      </c>
      <c r="B20" s="183"/>
      <c r="C20" s="183"/>
      <c r="D20" s="100"/>
      <c r="E20" s="100"/>
      <c r="F20" s="100"/>
      <c r="G20" s="100"/>
      <c r="H20" s="100"/>
      <c r="I20" s="175"/>
      <c r="J20" s="100"/>
      <c r="K20" s="100"/>
      <c r="L20" s="100"/>
      <c r="M20" s="100"/>
      <c r="N20" s="100"/>
      <c r="O20" s="95"/>
      <c r="P20" s="60"/>
      <c r="Q20" s="27"/>
      <c r="R20" s="62"/>
      <c r="S20" s="60"/>
      <c r="T20" s="27">
        <f>+R20+S20</f>
        <v>0</v>
      </c>
    </row>
    <row r="21" spans="1:20" hidden="1" x14ac:dyDescent="0.25">
      <c r="D21" s="14"/>
      <c r="E21" s="14"/>
      <c r="F21" s="14"/>
      <c r="G21" s="14"/>
      <c r="H21" s="14"/>
      <c r="J21" s="14"/>
      <c r="K21" s="14"/>
      <c r="L21" s="14"/>
      <c r="M21" s="14"/>
      <c r="N21" s="14"/>
      <c r="P21" s="23"/>
      <c r="Q21" s="30"/>
      <c r="R21" s="23"/>
      <c r="S21" s="30"/>
      <c r="T21" s="23"/>
    </row>
    <row r="22" spans="1:20" x14ac:dyDescent="0.25">
      <c r="A22" s="1" t="s">
        <v>19</v>
      </c>
      <c r="B22" s="1"/>
      <c r="D22" s="15"/>
      <c r="E22" s="15"/>
      <c r="F22" s="15"/>
      <c r="G22" s="15"/>
      <c r="H22" s="15"/>
      <c r="J22" s="15"/>
      <c r="K22" s="15"/>
      <c r="L22" s="15"/>
      <c r="M22" s="15"/>
      <c r="N22" s="15"/>
      <c r="P22" s="19"/>
      <c r="Q22" s="30"/>
      <c r="R22" s="19"/>
      <c r="S22" s="30"/>
      <c r="T22" s="19"/>
    </row>
    <row r="23" spans="1:20" x14ac:dyDescent="0.25">
      <c r="A23" s="1"/>
      <c r="B23" s="3" t="s">
        <v>107</v>
      </c>
      <c r="D23" s="59">
        <v>5673585</v>
      </c>
      <c r="E23" s="15"/>
      <c r="F23" s="19">
        <f t="shared" ref="F23:F27" si="8">+D23+E23</f>
        <v>5673585</v>
      </c>
      <c r="G23" s="15"/>
      <c r="H23" s="19">
        <f t="shared" ref="H23:H27" si="9">+F23+G23</f>
        <v>5673585</v>
      </c>
      <c r="J23" s="59">
        <v>3150764</v>
      </c>
      <c r="K23" s="15"/>
      <c r="L23" s="19">
        <f t="shared" ref="L23:L27" si="10">+J23+K23</f>
        <v>3150764</v>
      </c>
      <c r="M23" s="15"/>
      <c r="N23" s="19">
        <f t="shared" ref="N23:N32" si="11">+L23+M23</f>
        <v>3150764</v>
      </c>
      <c r="P23" s="59">
        <v>40694</v>
      </c>
      <c r="Q23" s="15"/>
      <c r="R23" s="19">
        <f>P23+Q23</f>
        <v>40694</v>
      </c>
      <c r="S23" s="61"/>
      <c r="T23" s="19">
        <f t="shared" ref="T23:T32" si="12">+R23+S23</f>
        <v>40694</v>
      </c>
    </row>
    <row r="24" spans="1:20" x14ac:dyDescent="0.25">
      <c r="B24" t="s">
        <v>20</v>
      </c>
      <c r="D24" s="59"/>
      <c r="E24" s="15"/>
      <c r="F24" s="19">
        <f t="shared" si="8"/>
        <v>0</v>
      </c>
      <c r="G24" s="15"/>
      <c r="H24" s="19">
        <f t="shared" si="9"/>
        <v>0</v>
      </c>
      <c r="J24" s="59">
        <v>1449893</v>
      </c>
      <c r="K24" s="15"/>
      <c r="L24" s="19">
        <f t="shared" si="10"/>
        <v>1449893</v>
      </c>
      <c r="M24" s="15"/>
      <c r="N24" s="19">
        <f t="shared" si="11"/>
        <v>1449893</v>
      </c>
      <c r="P24" s="59">
        <v>3212434</v>
      </c>
      <c r="Q24" s="15"/>
      <c r="R24" s="19">
        <f t="shared" ref="R24:R31" si="13">P24+Q24</f>
        <v>3212434</v>
      </c>
      <c r="T24" s="19">
        <f t="shared" si="12"/>
        <v>3212434</v>
      </c>
    </row>
    <row r="25" spans="1:20" x14ac:dyDescent="0.25">
      <c r="B25" t="s">
        <v>21</v>
      </c>
      <c r="D25" s="59">
        <v>40059996</v>
      </c>
      <c r="E25" s="59">
        <v>15927036</v>
      </c>
      <c r="F25" s="19">
        <f t="shared" si="8"/>
        <v>55987032</v>
      </c>
      <c r="G25" s="19">
        <f>-AD!H22+AD!G39+AD!G46-AD!H52</f>
        <v>-13217070.938548002</v>
      </c>
      <c r="H25" s="19">
        <f t="shared" si="9"/>
        <v>42769961.061452001</v>
      </c>
      <c r="J25" s="59">
        <v>58219865</v>
      </c>
      <c r="K25" s="59">
        <v>13960461</v>
      </c>
      <c r="L25" s="19">
        <f t="shared" si="10"/>
        <v>72180326</v>
      </c>
      <c r="M25" s="19">
        <f>-AD!J22+AD!I39+AD!I47-AD!J52</f>
        <v>-14650151.938548002</v>
      </c>
      <c r="N25" s="19">
        <f t="shared" si="11"/>
        <v>57530174.061452001</v>
      </c>
      <c r="P25" s="59">
        <v>66573020</v>
      </c>
      <c r="Q25" s="59">
        <v>17358621</v>
      </c>
      <c r="R25" s="19">
        <f t="shared" si="13"/>
        <v>83931641</v>
      </c>
      <c r="S25" s="4">
        <f>-AD!L22+AD!K39+AD!K47-AD!L52</f>
        <v>-18536381.523400001</v>
      </c>
      <c r="T25" s="19">
        <f t="shared" si="12"/>
        <v>65395259.476599999</v>
      </c>
    </row>
    <row r="26" spans="1:20" x14ac:dyDescent="0.25">
      <c r="B26" t="s">
        <v>22</v>
      </c>
      <c r="D26" s="59">
        <v>953392</v>
      </c>
      <c r="E26" s="59"/>
      <c r="F26" s="19">
        <f t="shared" si="8"/>
        <v>953392</v>
      </c>
      <c r="G26" s="15"/>
      <c r="H26" s="19">
        <f t="shared" si="9"/>
        <v>953392</v>
      </c>
      <c r="J26" s="59">
        <v>624011</v>
      </c>
      <c r="K26" s="59"/>
      <c r="L26" s="19">
        <f t="shared" si="10"/>
        <v>624011</v>
      </c>
      <c r="M26" s="15"/>
      <c r="N26" s="19">
        <f t="shared" si="11"/>
        <v>624011</v>
      </c>
      <c r="P26" s="59">
        <v>661755</v>
      </c>
      <c r="Q26" s="15"/>
      <c r="R26" s="19">
        <f t="shared" si="13"/>
        <v>661755</v>
      </c>
      <c r="T26" s="19">
        <f t="shared" si="12"/>
        <v>661755</v>
      </c>
    </row>
    <row r="27" spans="1:20" x14ac:dyDescent="0.25">
      <c r="B27" t="s">
        <v>23</v>
      </c>
      <c r="D27" s="59">
        <v>12779430</v>
      </c>
      <c r="E27" s="59">
        <f>431014+1477144</f>
        <v>1908158</v>
      </c>
      <c r="F27" s="19">
        <f t="shared" si="8"/>
        <v>14687588</v>
      </c>
      <c r="G27" s="15"/>
      <c r="H27" s="19">
        <f t="shared" si="9"/>
        <v>14687588</v>
      </c>
      <c r="J27" s="59">
        <v>14218560.43</v>
      </c>
      <c r="K27" s="59">
        <v>231861</v>
      </c>
      <c r="L27" s="19">
        <f t="shared" si="10"/>
        <v>14450421.43</v>
      </c>
      <c r="M27" s="15"/>
      <c r="N27" s="19">
        <f t="shared" si="11"/>
        <v>14450421.43</v>
      </c>
      <c r="P27" s="59">
        <v>11586243</v>
      </c>
      <c r="Q27" s="59">
        <v>241844</v>
      </c>
      <c r="R27" s="19">
        <f t="shared" si="13"/>
        <v>11828087</v>
      </c>
      <c r="T27" s="19">
        <f t="shared" si="12"/>
        <v>11828087</v>
      </c>
    </row>
    <row r="28" spans="1:20" x14ac:dyDescent="0.25">
      <c r="B28" t="s">
        <v>13</v>
      </c>
      <c r="D28" s="15"/>
      <c r="E28" s="15"/>
      <c r="F28" s="15"/>
      <c r="G28" s="15"/>
      <c r="H28" s="15"/>
      <c r="J28" s="15"/>
      <c r="K28" s="15"/>
      <c r="L28" s="15"/>
      <c r="M28" s="15"/>
      <c r="N28" s="15"/>
      <c r="P28" s="15"/>
      <c r="Q28" s="15"/>
      <c r="R28" s="19">
        <f t="shared" si="13"/>
        <v>0</v>
      </c>
      <c r="T28" s="19">
        <f t="shared" si="12"/>
        <v>0</v>
      </c>
    </row>
    <row r="29" spans="1:20" x14ac:dyDescent="0.25">
      <c r="B29" t="s">
        <v>182</v>
      </c>
      <c r="D29" s="59"/>
      <c r="E29" s="59"/>
      <c r="F29" s="19">
        <f t="shared" ref="F29:F32" si="14">+D29+E29</f>
        <v>0</v>
      </c>
      <c r="G29" s="15"/>
      <c r="H29" s="19">
        <f t="shared" ref="H29:H32" si="15">+F29+G29</f>
        <v>0</v>
      </c>
      <c r="J29" s="59">
        <v>1422229</v>
      </c>
      <c r="K29" s="59"/>
      <c r="L29" s="19">
        <f t="shared" ref="L29:L32" si="16">+J29+K29</f>
        <v>1422229</v>
      </c>
      <c r="M29" s="15"/>
      <c r="N29" s="19">
        <f t="shared" si="11"/>
        <v>1422229</v>
      </c>
      <c r="P29" s="59">
        <v>1422229</v>
      </c>
      <c r="Q29" s="15"/>
      <c r="R29" s="19">
        <f t="shared" si="13"/>
        <v>1422229</v>
      </c>
      <c r="T29" s="19">
        <f t="shared" si="12"/>
        <v>1422229</v>
      </c>
    </row>
    <row r="30" spans="1:20" x14ac:dyDescent="0.25">
      <c r="B30" t="s">
        <v>24</v>
      </c>
      <c r="D30" s="59"/>
      <c r="E30" s="59"/>
      <c r="F30" s="19">
        <f t="shared" si="14"/>
        <v>0</v>
      </c>
      <c r="G30" s="15"/>
      <c r="H30" s="19">
        <f t="shared" si="15"/>
        <v>0</v>
      </c>
      <c r="J30" s="59">
        <v>39016871</v>
      </c>
      <c r="K30" s="59"/>
      <c r="L30" s="19">
        <f t="shared" si="16"/>
        <v>39016871</v>
      </c>
      <c r="M30" s="15"/>
      <c r="N30" s="19">
        <f t="shared" si="11"/>
        <v>39016871</v>
      </c>
      <c r="P30" s="59">
        <v>44513438</v>
      </c>
      <c r="Q30" s="15"/>
      <c r="R30" s="19">
        <f t="shared" si="13"/>
        <v>44513438</v>
      </c>
      <c r="T30" s="19">
        <f t="shared" si="12"/>
        <v>44513438</v>
      </c>
    </row>
    <row r="31" spans="1:20" x14ac:dyDescent="0.25">
      <c r="B31" t="s">
        <v>236</v>
      </c>
      <c r="D31" s="19"/>
      <c r="E31" s="19">
        <v>135662</v>
      </c>
      <c r="F31" s="19">
        <f t="shared" si="14"/>
        <v>135662</v>
      </c>
      <c r="G31" s="19">
        <f>+AD!G45+AD!G61</f>
        <v>3121344.6608500006</v>
      </c>
      <c r="H31" s="19">
        <f t="shared" si="15"/>
        <v>3257006.6608500006</v>
      </c>
      <c r="J31" s="19">
        <v>261500</v>
      </c>
      <c r="K31" s="19">
        <v>62075</v>
      </c>
      <c r="L31" s="19">
        <f t="shared" si="16"/>
        <v>323575</v>
      </c>
      <c r="M31" s="19">
        <f>+AD!I45+AD!I61+AD!I56</f>
        <v>3479614.9108500001</v>
      </c>
      <c r="N31" s="19">
        <f t="shared" si="11"/>
        <v>3803189.9108500001</v>
      </c>
      <c r="P31" s="19">
        <v>0</v>
      </c>
      <c r="Q31" s="15"/>
      <c r="R31" s="19">
        <f t="shared" si="13"/>
        <v>0</v>
      </c>
      <c r="S31" s="4">
        <f>+AD!K45+AD!K61</f>
        <v>4078003.9351480003</v>
      </c>
      <c r="T31" s="19">
        <f t="shared" si="12"/>
        <v>4078003.9351480003</v>
      </c>
    </row>
    <row r="32" spans="1:20" x14ac:dyDescent="0.25">
      <c r="B32" t="s">
        <v>50</v>
      </c>
      <c r="D32" s="59">
        <v>46507281</v>
      </c>
      <c r="E32" s="59">
        <v>59027</v>
      </c>
      <c r="F32" s="19">
        <f t="shared" si="14"/>
        <v>46566308</v>
      </c>
      <c r="G32" s="28"/>
      <c r="H32" s="19">
        <f t="shared" si="15"/>
        <v>46566308</v>
      </c>
      <c r="J32" s="59">
        <v>105893</v>
      </c>
      <c r="K32" s="59">
        <v>38920</v>
      </c>
      <c r="L32" s="19">
        <f t="shared" si="16"/>
        <v>144813</v>
      </c>
      <c r="M32" s="28"/>
      <c r="N32" s="19">
        <f t="shared" si="11"/>
        <v>144813</v>
      </c>
      <c r="P32" s="59">
        <v>105894</v>
      </c>
      <c r="Q32" s="59">
        <v>35121</v>
      </c>
      <c r="R32" s="19">
        <f>P32+Q32</f>
        <v>141015</v>
      </c>
      <c r="T32" s="19">
        <f t="shared" si="12"/>
        <v>141015</v>
      </c>
    </row>
    <row r="33" spans="1:20" x14ac:dyDescent="0.25">
      <c r="A33" s="1" t="s">
        <v>25</v>
      </c>
      <c r="D33" s="20">
        <f>SUM(D23:D32)</f>
        <v>105973684</v>
      </c>
      <c r="E33" s="20">
        <f>SUM(E23:E32)</f>
        <v>18029883</v>
      </c>
      <c r="F33" s="20">
        <f>SUM(F23:F32)</f>
        <v>124003567</v>
      </c>
      <c r="G33" s="20">
        <f>SUM(G23:G32)</f>
        <v>-10095726.277698003</v>
      </c>
      <c r="H33" s="20">
        <f>SUM(H23:H32)</f>
        <v>113907840.722302</v>
      </c>
      <c r="J33" s="20">
        <f>SUM(J23:J32)</f>
        <v>118469586.43000001</v>
      </c>
      <c r="K33" s="20">
        <f>SUM(K23:K32)</f>
        <v>14293317</v>
      </c>
      <c r="L33" s="20">
        <f>SUM(L23:L32)</f>
        <v>132762903.43000001</v>
      </c>
      <c r="M33" s="20">
        <f>SUM(M23:M32)</f>
        <v>-11170537.027698003</v>
      </c>
      <c r="N33" s="20">
        <f>SUM(N23:N32)</f>
        <v>121592366.40230201</v>
      </c>
      <c r="P33" s="20">
        <f>SUM(P23:P32)</f>
        <v>128115707</v>
      </c>
      <c r="Q33" s="20">
        <f>SUM(Q23:Q32)</f>
        <v>17635586</v>
      </c>
      <c r="R33" s="20">
        <f>SUM(R23:R32)</f>
        <v>145751293</v>
      </c>
      <c r="S33" s="20">
        <f>SUM(S23:S32)</f>
        <v>-14458377.588252001</v>
      </c>
      <c r="T33" s="20">
        <f>SUM(T23:T32)</f>
        <v>131292915.41174799</v>
      </c>
    </row>
    <row r="34" spans="1:20" x14ac:dyDescent="0.25">
      <c r="A34" s="1" t="s">
        <v>26</v>
      </c>
      <c r="D34" s="20">
        <f>D33+D18</f>
        <v>215501686</v>
      </c>
      <c r="E34" s="20">
        <f>E33+E18</f>
        <v>45567378</v>
      </c>
      <c r="F34" s="20">
        <f>F33+F18</f>
        <v>261069064</v>
      </c>
      <c r="G34" s="20">
        <f>G33+G18</f>
        <v>-44401260.277698003</v>
      </c>
      <c r="H34" s="20">
        <f>H33+H18</f>
        <v>216667803.72230202</v>
      </c>
      <c r="J34" s="20">
        <f>J33+J18</f>
        <v>201972536.09</v>
      </c>
      <c r="K34" s="20">
        <f>K33+K18</f>
        <v>38106365</v>
      </c>
      <c r="L34" s="20">
        <f>L33+L18</f>
        <v>240078901.09</v>
      </c>
      <c r="M34" s="20">
        <f>M33+M18</f>
        <v>-32885243.027698003</v>
      </c>
      <c r="N34" s="20">
        <f>N33+N18</f>
        <v>207193658.06230199</v>
      </c>
      <c r="P34" s="20">
        <f>P33+P18</f>
        <v>197414677</v>
      </c>
      <c r="Q34" s="20">
        <f>Q18+Q33</f>
        <v>26165735</v>
      </c>
      <c r="R34" s="48">
        <f>P34+Q34</f>
        <v>223580412</v>
      </c>
      <c r="S34" s="48">
        <f>S18+S33</f>
        <v>-24764395.588252001</v>
      </c>
      <c r="T34" s="48">
        <f>+T33+T18</f>
        <v>198816016.41174799</v>
      </c>
    </row>
    <row r="35" spans="1:20" x14ac:dyDescent="0.25">
      <c r="D35" s="14"/>
      <c r="E35" s="14"/>
      <c r="F35" s="14"/>
      <c r="G35" s="14"/>
      <c r="H35" s="14"/>
      <c r="J35" s="14"/>
      <c r="K35" s="14"/>
      <c r="L35" s="14"/>
      <c r="M35" s="14"/>
      <c r="N35" s="14"/>
      <c r="P35" s="23"/>
      <c r="Q35" s="63"/>
      <c r="R35" s="23"/>
      <c r="S35" s="63"/>
      <c r="T35" s="23"/>
    </row>
    <row r="36" spans="1:20" x14ac:dyDescent="0.25">
      <c r="C36" s="5" t="s">
        <v>27</v>
      </c>
      <c r="D36" s="101"/>
      <c r="E36" s="101"/>
      <c r="F36" s="101"/>
      <c r="G36" s="101"/>
      <c r="H36" s="101"/>
      <c r="I36" s="5"/>
      <c r="J36" s="101"/>
      <c r="K36" s="101"/>
      <c r="L36" s="101"/>
      <c r="M36" s="101"/>
      <c r="N36" s="101"/>
      <c r="O36" s="5"/>
      <c r="P36" s="19"/>
      <c r="Q36" s="61"/>
      <c r="R36" s="19"/>
      <c r="S36" s="61"/>
      <c r="T36" s="19"/>
    </row>
    <row r="37" spans="1:20" x14ac:dyDescent="0.25">
      <c r="A37" s="1" t="s">
        <v>28</v>
      </c>
      <c r="D37" s="15"/>
      <c r="E37" s="15"/>
      <c r="F37" s="15"/>
      <c r="G37" s="15"/>
      <c r="H37" s="15"/>
      <c r="J37" s="15"/>
      <c r="K37" s="15"/>
      <c r="L37" s="15"/>
      <c r="M37" s="15"/>
      <c r="N37" s="15"/>
      <c r="P37" s="19"/>
      <c r="Q37" s="61"/>
      <c r="R37" s="19"/>
      <c r="S37" s="61"/>
      <c r="T37" s="19"/>
    </row>
    <row r="38" spans="1:20" x14ac:dyDescent="0.25">
      <c r="B38" t="s">
        <v>29</v>
      </c>
      <c r="D38" s="59">
        <v>5816585</v>
      </c>
      <c r="E38" s="59">
        <v>1723259</v>
      </c>
      <c r="F38" s="19">
        <f t="shared" ref="F38:F39" si="17">+D38+E38</f>
        <v>7539844</v>
      </c>
      <c r="G38" s="15"/>
      <c r="H38" s="19">
        <f t="shared" ref="H38:H39" si="18">+F38+G38</f>
        <v>7539844</v>
      </c>
      <c r="J38" s="59">
        <v>15262293</v>
      </c>
      <c r="K38" s="59">
        <v>1606363</v>
      </c>
      <c r="L38" s="19">
        <f t="shared" ref="L38:L42" si="19">+J38+K38</f>
        <v>16868656</v>
      </c>
      <c r="M38" s="15"/>
      <c r="N38" s="19">
        <f t="shared" ref="N38:N49" si="20">+L38+M38</f>
        <v>16868656</v>
      </c>
      <c r="P38" s="59">
        <v>25133387</v>
      </c>
      <c r="Q38" s="59">
        <v>2011281</v>
      </c>
      <c r="R38" s="19">
        <f>+P38+Q38</f>
        <v>27144668</v>
      </c>
      <c r="T38" s="19">
        <f>+R38+S38</f>
        <v>27144668</v>
      </c>
    </row>
    <row r="39" spans="1:20" x14ac:dyDescent="0.25">
      <c r="B39" t="s">
        <v>311</v>
      </c>
      <c r="D39" s="59">
        <v>3730964</v>
      </c>
      <c r="E39" s="59"/>
      <c r="F39" s="19">
        <f t="shared" si="17"/>
        <v>3730964</v>
      </c>
      <c r="G39" s="15"/>
      <c r="H39" s="19">
        <f t="shared" si="18"/>
        <v>3730964</v>
      </c>
      <c r="J39" s="59">
        <v>8587943</v>
      </c>
      <c r="K39" s="59"/>
      <c r="L39" s="19">
        <f t="shared" si="19"/>
        <v>8587943</v>
      </c>
      <c r="M39" s="15"/>
      <c r="N39" s="19">
        <f t="shared" si="20"/>
        <v>8587943</v>
      </c>
      <c r="P39" s="59">
        <v>0</v>
      </c>
      <c r="Q39" s="59">
        <v>0</v>
      </c>
      <c r="R39" s="19">
        <f>+P39+Q39</f>
        <v>0</v>
      </c>
      <c r="T39" s="19">
        <f>+R39+S39</f>
        <v>0</v>
      </c>
    </row>
    <row r="40" spans="1:20" x14ac:dyDescent="0.25">
      <c r="B40" t="s">
        <v>30</v>
      </c>
      <c r="D40" s="15"/>
      <c r="E40" s="59"/>
      <c r="F40" s="15"/>
      <c r="G40" s="15"/>
      <c r="H40" s="19"/>
      <c r="J40" s="15"/>
      <c r="K40" s="59"/>
      <c r="L40" s="15"/>
      <c r="M40" s="15"/>
      <c r="N40" s="19"/>
      <c r="P40" s="15"/>
      <c r="Q40" s="59"/>
      <c r="R40" s="19"/>
      <c r="T40" s="19"/>
    </row>
    <row r="41" spans="1:20" x14ac:dyDescent="0.25">
      <c r="B41" t="s">
        <v>31</v>
      </c>
      <c r="D41" s="59">
        <v>20927465</v>
      </c>
      <c r="E41" s="59">
        <v>2140093</v>
      </c>
      <c r="F41" s="19">
        <f t="shared" ref="F41:F42" si="21">+D41+E41</f>
        <v>23067558</v>
      </c>
      <c r="G41" s="15"/>
      <c r="H41" s="19">
        <f t="shared" ref="H41:H49" si="22">+F41+G41</f>
        <v>23067558</v>
      </c>
      <c r="J41" s="59">
        <v>15777543</v>
      </c>
      <c r="K41" s="59">
        <v>694461</v>
      </c>
      <c r="L41" s="19">
        <f t="shared" si="19"/>
        <v>16472004</v>
      </c>
      <c r="M41" s="15"/>
      <c r="N41" s="19">
        <f t="shared" si="20"/>
        <v>16472004</v>
      </c>
      <c r="P41" s="59">
        <f>19562775-1869732</f>
        <v>17693043</v>
      </c>
      <c r="Q41" s="59">
        <v>599812</v>
      </c>
      <c r="R41" s="19">
        <f t="shared" ref="R41:R50" si="23">+P41+Q41</f>
        <v>18292855</v>
      </c>
      <c r="T41" s="19">
        <f t="shared" ref="T41:T49" si="24">+R41+S41</f>
        <v>18292855</v>
      </c>
    </row>
    <row r="42" spans="1:20" x14ac:dyDescent="0.25">
      <c r="B42" t="s">
        <v>8</v>
      </c>
      <c r="D42" s="59">
        <v>7880829</v>
      </c>
      <c r="E42" s="59">
        <v>12478474</v>
      </c>
      <c r="F42" s="19">
        <f t="shared" si="21"/>
        <v>20359303</v>
      </c>
      <c r="G42" s="19">
        <f>-AD!G13</f>
        <v>-12478474</v>
      </c>
      <c r="H42" s="19">
        <f t="shared" si="22"/>
        <v>7880829</v>
      </c>
      <c r="J42" s="59">
        <v>1933474</v>
      </c>
      <c r="K42" s="59">
        <v>10682418</v>
      </c>
      <c r="L42" s="19">
        <f t="shared" si="19"/>
        <v>12615892</v>
      </c>
      <c r="M42" s="19">
        <f>-AD!I13</f>
        <v>-10682418</v>
      </c>
      <c r="N42" s="19">
        <f t="shared" si="20"/>
        <v>1933474</v>
      </c>
      <c r="P42" s="59">
        <f>10819633-10628880+1869732</f>
        <v>2060485</v>
      </c>
      <c r="Q42" s="59">
        <v>5099200</v>
      </c>
      <c r="R42" s="19">
        <f t="shared" si="23"/>
        <v>7159685</v>
      </c>
      <c r="S42" s="4">
        <f>-AD!K13</f>
        <v>-5099200</v>
      </c>
      <c r="T42" s="19">
        <f t="shared" si="24"/>
        <v>2060485</v>
      </c>
    </row>
    <row r="43" spans="1:20" hidden="1" x14ac:dyDescent="0.25">
      <c r="B43" t="s">
        <v>32</v>
      </c>
      <c r="D43" s="59"/>
      <c r="E43" s="103"/>
      <c r="F43" s="15"/>
      <c r="G43" s="15"/>
      <c r="H43" s="19">
        <f t="shared" si="22"/>
        <v>0</v>
      </c>
      <c r="J43" s="59"/>
      <c r="K43" s="103"/>
      <c r="L43" s="15"/>
      <c r="M43" s="15"/>
      <c r="N43" s="19">
        <f t="shared" si="20"/>
        <v>0</v>
      </c>
      <c r="P43" s="59"/>
      <c r="Q43" s="103"/>
      <c r="R43" s="19">
        <f t="shared" si="23"/>
        <v>0</v>
      </c>
      <c r="T43" s="19">
        <f t="shared" si="24"/>
        <v>0</v>
      </c>
    </row>
    <row r="44" spans="1:20" x14ac:dyDescent="0.25">
      <c r="B44" t="s">
        <v>33</v>
      </c>
      <c r="D44" s="59">
        <v>146960</v>
      </c>
      <c r="E44" s="51">
        <v>1332387</v>
      </c>
      <c r="F44" s="19">
        <f t="shared" ref="F44:F49" si="25">+D44+E44</f>
        <v>1479347</v>
      </c>
      <c r="G44" s="15"/>
      <c r="H44" s="19">
        <f t="shared" si="22"/>
        <v>1479347</v>
      </c>
      <c r="J44" s="59">
        <v>6713206</v>
      </c>
      <c r="K44" s="51">
        <v>1593751</v>
      </c>
      <c r="L44" s="19">
        <f t="shared" ref="L44:L49" si="26">+J44+K44</f>
        <v>8306957</v>
      </c>
      <c r="M44" s="15"/>
      <c r="N44" s="19">
        <f t="shared" si="20"/>
        <v>8306957</v>
      </c>
      <c r="P44" s="59">
        <f>4228478</f>
        <v>4228478</v>
      </c>
      <c r="Q44" s="51">
        <v>355666</v>
      </c>
      <c r="R44" s="19">
        <f t="shared" si="23"/>
        <v>4584144</v>
      </c>
      <c r="T44" s="19">
        <f t="shared" si="24"/>
        <v>4584144</v>
      </c>
    </row>
    <row r="45" spans="1:20" x14ac:dyDescent="0.25">
      <c r="B45" t="s">
        <v>34</v>
      </c>
      <c r="D45" s="59">
        <v>7466277</v>
      </c>
      <c r="E45" s="59">
        <f>13147+810</f>
        <v>13957</v>
      </c>
      <c r="F45" s="19">
        <f t="shared" si="25"/>
        <v>7480234</v>
      </c>
      <c r="G45" s="15"/>
      <c r="H45" s="19">
        <f t="shared" si="22"/>
        <v>7480234</v>
      </c>
      <c r="J45" s="59">
        <v>2325545</v>
      </c>
      <c r="K45" s="59">
        <v>28903</v>
      </c>
      <c r="L45" s="19">
        <f t="shared" si="26"/>
        <v>2354448</v>
      </c>
      <c r="M45" s="15"/>
      <c r="N45" s="19">
        <f t="shared" si="20"/>
        <v>2354448</v>
      </c>
      <c r="P45" s="59">
        <v>3286332</v>
      </c>
      <c r="Q45" s="59">
        <v>18473</v>
      </c>
      <c r="R45" s="19">
        <f t="shared" si="23"/>
        <v>3304805</v>
      </c>
      <c r="T45" s="19">
        <f t="shared" si="24"/>
        <v>3304805</v>
      </c>
    </row>
    <row r="46" spans="1:20" x14ac:dyDescent="0.25">
      <c r="B46" t="s">
        <v>339</v>
      </c>
      <c r="D46" s="59">
        <v>1143929</v>
      </c>
      <c r="E46" s="59">
        <v>431243</v>
      </c>
      <c r="F46" s="19">
        <f t="shared" si="25"/>
        <v>1575172</v>
      </c>
      <c r="G46" s="19">
        <f>-AD!G28</f>
        <v>-4620000</v>
      </c>
      <c r="H46" s="19">
        <f t="shared" si="22"/>
        <v>-3044828</v>
      </c>
      <c r="J46" s="59">
        <v>9631316</v>
      </c>
      <c r="K46" s="59">
        <v>301722</v>
      </c>
      <c r="L46" s="19">
        <f t="shared" si="26"/>
        <v>9933038</v>
      </c>
      <c r="M46" s="19">
        <f>-AD!I28</f>
        <v>-6088067</v>
      </c>
      <c r="N46" s="19">
        <f t="shared" si="20"/>
        <v>3844971</v>
      </c>
      <c r="P46" s="59">
        <v>1953502</v>
      </c>
      <c r="Q46" s="59">
        <v>278886</v>
      </c>
      <c r="R46" s="19">
        <f t="shared" si="23"/>
        <v>2232388</v>
      </c>
      <c r="S46" s="4">
        <f>-AD!K28</f>
        <v>-656393</v>
      </c>
      <c r="T46" s="19">
        <f t="shared" si="24"/>
        <v>1575995</v>
      </c>
    </row>
    <row r="47" spans="1:20" x14ac:dyDescent="0.25">
      <c r="B47" t="s">
        <v>340</v>
      </c>
      <c r="D47" s="59"/>
      <c r="E47" s="59">
        <v>699516</v>
      </c>
      <c r="F47" s="19">
        <f t="shared" si="25"/>
        <v>699516</v>
      </c>
      <c r="G47" s="19"/>
      <c r="H47" s="19">
        <f t="shared" si="22"/>
        <v>699516</v>
      </c>
      <c r="J47" s="59"/>
      <c r="K47" s="59"/>
      <c r="L47" s="19"/>
      <c r="M47" s="19"/>
      <c r="N47" s="19"/>
      <c r="P47" s="59"/>
      <c r="Q47" s="59"/>
      <c r="R47" s="19"/>
      <c r="T47" s="19"/>
    </row>
    <row r="48" spans="1:20" x14ac:dyDescent="0.25">
      <c r="B48" t="s">
        <v>36</v>
      </c>
      <c r="D48" s="59">
        <v>3689156</v>
      </c>
      <c r="E48" s="59">
        <v>2169404</v>
      </c>
      <c r="F48" s="19">
        <f t="shared" si="25"/>
        <v>5858560</v>
      </c>
      <c r="G48" s="15"/>
      <c r="H48" s="19">
        <f t="shared" si="22"/>
        <v>5858560</v>
      </c>
      <c r="J48" s="59">
        <v>6162582</v>
      </c>
      <c r="K48" s="59">
        <v>1399620</v>
      </c>
      <c r="L48" s="19">
        <f t="shared" si="26"/>
        <v>7562202</v>
      </c>
      <c r="M48" s="15"/>
      <c r="N48" s="19">
        <f t="shared" si="20"/>
        <v>7562202</v>
      </c>
      <c r="P48" s="59">
        <v>4524107</v>
      </c>
      <c r="Q48" s="59">
        <v>982596</v>
      </c>
      <c r="R48" s="19">
        <f t="shared" si="23"/>
        <v>5506703</v>
      </c>
      <c r="T48" s="19">
        <f t="shared" si="24"/>
        <v>5506703</v>
      </c>
    </row>
    <row r="49" spans="1:20" hidden="1" x14ac:dyDescent="0.25">
      <c r="B49" t="s">
        <v>37</v>
      </c>
      <c r="D49" s="59"/>
      <c r="E49" s="59"/>
      <c r="F49" s="19">
        <f t="shared" si="25"/>
        <v>0</v>
      </c>
      <c r="G49" s="27"/>
      <c r="H49" s="19">
        <f t="shared" si="22"/>
        <v>0</v>
      </c>
      <c r="J49" s="59">
        <v>0</v>
      </c>
      <c r="K49" s="59">
        <v>0</v>
      </c>
      <c r="L49" s="19">
        <f t="shared" si="26"/>
        <v>0</v>
      </c>
      <c r="M49" s="27">
        <f>-AD!I31</f>
        <v>0</v>
      </c>
      <c r="N49" s="19">
        <f t="shared" si="20"/>
        <v>0</v>
      </c>
      <c r="P49" s="59">
        <v>4183053</v>
      </c>
      <c r="Q49" s="59">
        <v>249138</v>
      </c>
      <c r="R49" s="19">
        <f t="shared" si="23"/>
        <v>4432191</v>
      </c>
      <c r="S49" s="4">
        <f>-AD!K31</f>
        <v>-2148000</v>
      </c>
      <c r="T49" s="19">
        <f t="shared" si="24"/>
        <v>2284191</v>
      </c>
    </row>
    <row r="50" spans="1:20" x14ac:dyDescent="0.25">
      <c r="A50" s="1" t="s">
        <v>38</v>
      </c>
      <c r="D50" s="20">
        <f>SUM(D38:D49)</f>
        <v>50802165</v>
      </c>
      <c r="E50" s="20">
        <f>SUM(E38:E49)</f>
        <v>20988333</v>
      </c>
      <c r="F50" s="20">
        <f>SUM(F38:F49)</f>
        <v>71790498</v>
      </c>
      <c r="G50" s="20">
        <f>SUM(G38:G49)</f>
        <v>-17098474</v>
      </c>
      <c r="H50" s="20">
        <f>SUM(H38:H49)</f>
        <v>54692024</v>
      </c>
      <c r="J50" s="20">
        <f>SUM(J38:J49)</f>
        <v>66393902</v>
      </c>
      <c r="K50" s="20">
        <f>SUM(K38:K49)</f>
        <v>16307238</v>
      </c>
      <c r="L50" s="20">
        <f>SUM(L38:L49)</f>
        <v>82701140</v>
      </c>
      <c r="M50" s="20">
        <f>SUM(M38:M49)</f>
        <v>-16770485</v>
      </c>
      <c r="N50" s="20">
        <f>SUM(N38:N49)</f>
        <v>65930655</v>
      </c>
      <c r="P50" s="20">
        <f>SUM(P38:P49)</f>
        <v>63062387</v>
      </c>
      <c r="Q50" s="20">
        <f>SUM(Q38:Q49)</f>
        <v>9595052</v>
      </c>
      <c r="R50" s="20">
        <f t="shared" si="23"/>
        <v>72657439</v>
      </c>
      <c r="S50" s="20">
        <f>SUM(S38:S49)</f>
        <v>-7903593</v>
      </c>
      <c r="T50" s="20">
        <f>SUM(T38:T49)</f>
        <v>64753846</v>
      </c>
    </row>
    <row r="51" spans="1:20" x14ac:dyDescent="0.25">
      <c r="D51" s="14"/>
      <c r="E51" s="32"/>
      <c r="F51" s="14"/>
      <c r="G51" s="14"/>
      <c r="H51" s="14"/>
      <c r="J51" s="14"/>
      <c r="K51" s="14"/>
      <c r="L51" s="14"/>
      <c r="M51" s="14"/>
      <c r="N51" s="14"/>
      <c r="P51" s="19"/>
      <c r="Q51" s="61"/>
      <c r="R51" s="19"/>
      <c r="S51" s="61"/>
      <c r="T51" s="19"/>
    </row>
    <row r="52" spans="1:20" x14ac:dyDescent="0.25">
      <c r="A52" s="1" t="s">
        <v>39</v>
      </c>
      <c r="D52" s="15"/>
      <c r="E52" s="15"/>
      <c r="F52" s="15"/>
      <c r="G52" s="15"/>
      <c r="H52" s="15"/>
      <c r="J52" s="15"/>
      <c r="K52" s="15"/>
      <c r="L52" s="15"/>
      <c r="M52" s="15"/>
      <c r="N52" s="15"/>
      <c r="P52" s="19"/>
      <c r="Q52" s="61"/>
      <c r="R52" s="19"/>
      <c r="S52" s="61"/>
      <c r="T52" s="19"/>
    </row>
    <row r="53" spans="1:20" x14ac:dyDescent="0.25">
      <c r="B53" t="s">
        <v>29</v>
      </c>
      <c r="D53" s="59">
        <v>1654005</v>
      </c>
      <c r="E53" s="59">
        <v>909285</v>
      </c>
      <c r="F53" s="19">
        <f t="shared" ref="F53:F54" si="27">+D53+E53</f>
        <v>2563290</v>
      </c>
      <c r="G53" s="15"/>
      <c r="H53" s="19">
        <f t="shared" ref="H53:H54" si="28">+F53+G53</f>
        <v>2563290</v>
      </c>
      <c r="J53" s="59">
        <v>4378387</v>
      </c>
      <c r="K53" s="59">
        <v>2632543</v>
      </c>
      <c r="L53" s="19">
        <f t="shared" ref="L53:L62" si="29">+J53+K53</f>
        <v>7010930</v>
      </c>
      <c r="M53" s="15"/>
      <c r="N53" s="19">
        <f t="shared" ref="N53:N62" si="30">+L53+M53</f>
        <v>7010930</v>
      </c>
      <c r="P53" s="59">
        <v>16385448</v>
      </c>
      <c r="Q53" s="59">
        <v>1354464</v>
      </c>
      <c r="R53" s="19">
        <f>+P53+Q53</f>
        <v>17739912</v>
      </c>
      <c r="S53" s="61"/>
      <c r="T53" s="19">
        <f>+R53+S53</f>
        <v>17739912</v>
      </c>
    </row>
    <row r="54" spans="1:20" x14ac:dyDescent="0.25">
      <c r="B54" t="s">
        <v>312</v>
      </c>
      <c r="D54" s="59"/>
      <c r="E54" s="59"/>
      <c r="F54" s="19">
        <f t="shared" si="27"/>
        <v>0</v>
      </c>
      <c r="G54" s="15"/>
      <c r="H54" s="19">
        <f t="shared" si="28"/>
        <v>0</v>
      </c>
      <c r="J54" s="59">
        <v>2447101</v>
      </c>
      <c r="K54" s="59">
        <v>0</v>
      </c>
      <c r="L54" s="19">
        <f t="shared" si="29"/>
        <v>2447101</v>
      </c>
      <c r="M54" s="15"/>
      <c r="N54" s="19">
        <f t="shared" si="30"/>
        <v>2447101</v>
      </c>
      <c r="P54" s="59"/>
      <c r="Q54" s="59"/>
      <c r="R54" s="19"/>
      <c r="S54" s="61"/>
      <c r="T54" s="19"/>
    </row>
    <row r="55" spans="1:20" x14ac:dyDescent="0.25">
      <c r="B55" t="s">
        <v>30</v>
      </c>
      <c r="D55" s="59"/>
      <c r="E55" s="15"/>
      <c r="F55" s="19"/>
      <c r="G55" s="15"/>
      <c r="H55" s="15"/>
      <c r="J55" s="59"/>
      <c r="K55" s="15"/>
      <c r="L55" s="19"/>
      <c r="M55" s="15"/>
      <c r="N55" s="15"/>
      <c r="P55" s="59"/>
      <c r="Q55" s="15"/>
      <c r="R55" s="19"/>
      <c r="S55" s="61"/>
      <c r="T55" s="19"/>
    </row>
    <row r="56" spans="1:20" x14ac:dyDescent="0.25">
      <c r="B56" s="40" t="s">
        <v>31</v>
      </c>
      <c r="C56" s="40"/>
      <c r="D56" s="51">
        <v>0</v>
      </c>
      <c r="E56" s="59"/>
      <c r="F56" s="19">
        <f t="shared" ref="F56:F62" si="31">+D56+E56</f>
        <v>0</v>
      </c>
      <c r="G56" s="15"/>
      <c r="H56" s="19">
        <f t="shared" ref="H56:H62" si="32">+F56+G56</f>
        <v>0</v>
      </c>
      <c r="J56" s="59">
        <v>2345800</v>
      </c>
      <c r="K56" s="59"/>
      <c r="L56" s="19">
        <f t="shared" si="29"/>
        <v>2345800</v>
      </c>
      <c r="M56" s="15"/>
      <c r="N56" s="19">
        <f t="shared" si="30"/>
        <v>2345800</v>
      </c>
      <c r="P56" s="59">
        <v>2203673</v>
      </c>
      <c r="Q56" s="15"/>
      <c r="R56" s="19">
        <f t="shared" ref="R56:R64" si="33">+P56+Q56</f>
        <v>2203673</v>
      </c>
      <c r="S56" s="61"/>
      <c r="T56" s="19">
        <f t="shared" ref="T56:T62" si="34">+R56+S56</f>
        <v>2203673</v>
      </c>
    </row>
    <row r="57" spans="1:20" x14ac:dyDescent="0.25">
      <c r="B57" t="s">
        <v>205</v>
      </c>
      <c r="D57" s="59">
        <v>15292926</v>
      </c>
      <c r="E57" s="59"/>
      <c r="F57" s="19">
        <f t="shared" si="31"/>
        <v>15292926</v>
      </c>
      <c r="G57" s="15"/>
      <c r="H57" s="19">
        <f t="shared" si="32"/>
        <v>15292926</v>
      </c>
      <c r="J57" s="59">
        <v>10628880</v>
      </c>
      <c r="K57" s="59"/>
      <c r="L57" s="19">
        <f t="shared" si="29"/>
        <v>10628880</v>
      </c>
      <c r="M57" s="15"/>
      <c r="N57" s="19">
        <f t="shared" si="30"/>
        <v>10628880</v>
      </c>
      <c r="P57" s="59">
        <f>10628880+2936828</f>
        <v>13565708</v>
      </c>
      <c r="Q57" s="15"/>
      <c r="R57" s="19">
        <f t="shared" si="33"/>
        <v>13565708</v>
      </c>
      <c r="S57" s="61">
        <f>-AD!M29</f>
        <v>0</v>
      </c>
      <c r="T57" s="19">
        <f t="shared" si="34"/>
        <v>13565708</v>
      </c>
    </row>
    <row r="58" spans="1:20" x14ac:dyDescent="0.25">
      <c r="B58" t="s">
        <v>330</v>
      </c>
      <c r="D58" s="59">
        <f>3666071+12329117</f>
        <v>15995188</v>
      </c>
      <c r="E58" s="59">
        <v>230650</v>
      </c>
      <c r="F58" s="19">
        <f t="shared" si="31"/>
        <v>16225838</v>
      </c>
      <c r="G58" s="19">
        <f>-AD!G29</f>
        <v>-15292925</v>
      </c>
      <c r="H58" s="19">
        <f t="shared" si="32"/>
        <v>932913</v>
      </c>
      <c r="J58" s="59">
        <f>24796057+1086071</f>
        <v>25882128</v>
      </c>
      <c r="K58" s="59">
        <v>524930</v>
      </c>
      <c r="L58" s="19">
        <f t="shared" si="29"/>
        <v>26407058</v>
      </c>
      <c r="M58" s="19">
        <f>-AD!I30</f>
        <v>-4546528</v>
      </c>
      <c r="N58" s="19">
        <f t="shared" si="30"/>
        <v>21860530</v>
      </c>
      <c r="P58" s="59">
        <f>7566828-2936828+20813206</f>
        <v>25443206</v>
      </c>
      <c r="Q58" s="15"/>
      <c r="R58" s="19">
        <f t="shared" si="33"/>
        <v>25443206</v>
      </c>
      <c r="S58" s="61">
        <f>-AD!K30</f>
        <v>-2251425</v>
      </c>
      <c r="T58" s="19">
        <f t="shared" si="34"/>
        <v>23191781</v>
      </c>
    </row>
    <row r="59" spans="1:20" x14ac:dyDescent="0.25">
      <c r="B59" t="s">
        <v>361</v>
      </c>
      <c r="D59" s="59">
        <v>18563321</v>
      </c>
      <c r="E59" s="59"/>
      <c r="F59" s="19">
        <f t="shared" si="31"/>
        <v>18563321</v>
      </c>
      <c r="G59" s="19"/>
      <c r="H59" s="19">
        <f t="shared" si="32"/>
        <v>18563321</v>
      </c>
      <c r="J59" s="59"/>
      <c r="K59" s="59"/>
      <c r="L59" s="19"/>
      <c r="M59" s="19"/>
      <c r="N59" s="19"/>
      <c r="P59" s="59"/>
      <c r="Q59" s="9"/>
      <c r="R59" s="19"/>
      <c r="S59" s="61"/>
      <c r="T59" s="19"/>
    </row>
    <row r="60" spans="1:20" x14ac:dyDescent="0.25">
      <c r="B60" t="s">
        <v>324</v>
      </c>
      <c r="D60" s="59">
        <v>6797278</v>
      </c>
      <c r="E60" s="59">
        <v>1518011</v>
      </c>
      <c r="F60" s="19">
        <f t="shared" si="31"/>
        <v>8315289</v>
      </c>
      <c r="G60" s="15"/>
      <c r="H60" s="19">
        <f t="shared" si="32"/>
        <v>8315289</v>
      </c>
      <c r="J60" s="59">
        <v>5909359</v>
      </c>
      <c r="K60" s="59">
        <v>1232741</v>
      </c>
      <c r="L60" s="19">
        <f t="shared" si="29"/>
        <v>7142100</v>
      </c>
      <c r="M60" s="15"/>
      <c r="N60" s="19">
        <f t="shared" si="30"/>
        <v>7142100</v>
      </c>
      <c r="P60" s="59">
        <f>5140510</f>
        <v>5140510</v>
      </c>
      <c r="Q60" s="59">
        <v>964717</v>
      </c>
      <c r="R60" s="19">
        <f t="shared" si="33"/>
        <v>6105227</v>
      </c>
      <c r="S60" s="61"/>
      <c r="T60" s="19">
        <f t="shared" si="34"/>
        <v>6105227</v>
      </c>
    </row>
    <row r="61" spans="1:20" x14ac:dyDescent="0.25">
      <c r="B61" t="s">
        <v>323</v>
      </c>
      <c r="D61" s="59">
        <v>0</v>
      </c>
      <c r="E61" s="51"/>
      <c r="F61" s="19">
        <f t="shared" si="31"/>
        <v>0</v>
      </c>
      <c r="G61" s="19"/>
      <c r="H61" s="19">
        <f t="shared" si="32"/>
        <v>0</v>
      </c>
      <c r="J61" s="59">
        <v>2580000</v>
      </c>
      <c r="K61" s="51"/>
      <c r="L61" s="19">
        <f t="shared" si="29"/>
        <v>2580000</v>
      </c>
      <c r="M61" s="19"/>
      <c r="N61" s="19">
        <f t="shared" si="30"/>
        <v>2580000</v>
      </c>
      <c r="P61" s="59">
        <v>0</v>
      </c>
      <c r="Q61" s="15"/>
      <c r="R61" s="19">
        <f t="shared" si="33"/>
        <v>0</v>
      </c>
      <c r="S61" s="61"/>
      <c r="T61" s="19">
        <f t="shared" si="34"/>
        <v>0</v>
      </c>
    </row>
    <row r="62" spans="1:20" x14ac:dyDescent="0.25">
      <c r="B62" t="s">
        <v>340</v>
      </c>
      <c r="D62" s="59"/>
      <c r="E62" s="19">
        <v>920040</v>
      </c>
      <c r="F62" s="19">
        <f t="shared" si="31"/>
        <v>920040</v>
      </c>
      <c r="G62" s="15"/>
      <c r="H62" s="19">
        <f t="shared" si="32"/>
        <v>920040</v>
      </c>
      <c r="J62" s="59"/>
      <c r="K62" s="15"/>
      <c r="L62" s="19">
        <f t="shared" si="29"/>
        <v>0</v>
      </c>
      <c r="M62" s="15"/>
      <c r="N62" s="19">
        <f t="shared" si="30"/>
        <v>0</v>
      </c>
      <c r="P62" s="59">
        <v>772443</v>
      </c>
      <c r="Q62" s="15"/>
      <c r="R62" s="27">
        <f t="shared" si="33"/>
        <v>772443</v>
      </c>
      <c r="S62" s="61"/>
      <c r="T62" s="27">
        <f t="shared" si="34"/>
        <v>772443</v>
      </c>
    </row>
    <row r="63" spans="1:20" x14ac:dyDescent="0.25">
      <c r="A63" s="1" t="s">
        <v>41</v>
      </c>
      <c r="D63" s="20">
        <f>SUM(D53:D62)</f>
        <v>58302718</v>
      </c>
      <c r="E63" s="20">
        <f>SUM(E53:E62)</f>
        <v>3577986</v>
      </c>
      <c r="F63" s="20">
        <f>SUM(F53:F62)</f>
        <v>61880704</v>
      </c>
      <c r="G63" s="20">
        <f>SUM(G53:G62)</f>
        <v>-15292925</v>
      </c>
      <c r="H63" s="20">
        <f>SUM(H53:H62)</f>
        <v>46587779</v>
      </c>
      <c r="J63" s="20">
        <f>SUM(J53:J62)</f>
        <v>54171655</v>
      </c>
      <c r="K63" s="20">
        <f>SUM(K53:K62)</f>
        <v>4390214</v>
      </c>
      <c r="L63" s="20">
        <f>SUM(L53:L62)</f>
        <v>58561869</v>
      </c>
      <c r="M63" s="20">
        <f>SUM(M53:M62)</f>
        <v>-4546528</v>
      </c>
      <c r="N63" s="20">
        <f>SUM(N53:N62)</f>
        <v>54015341</v>
      </c>
      <c r="P63" s="20">
        <f>SUM(P53:P62)</f>
        <v>63510988</v>
      </c>
      <c r="Q63" s="20">
        <f>SUM(Q53:Q62)</f>
        <v>2319181</v>
      </c>
      <c r="R63" s="20">
        <f t="shared" si="33"/>
        <v>65830169</v>
      </c>
      <c r="S63" s="20">
        <f>SUM(S53:S62)</f>
        <v>-2251425</v>
      </c>
      <c r="T63" s="20">
        <f>SUM(T53:T62)</f>
        <v>63578744</v>
      </c>
    </row>
    <row r="64" spans="1:20" x14ac:dyDescent="0.25">
      <c r="A64" s="1" t="s">
        <v>42</v>
      </c>
      <c r="D64" s="20">
        <f>D50+D63</f>
        <v>109104883</v>
      </c>
      <c r="E64" s="20">
        <f>E50+E63</f>
        <v>24566319</v>
      </c>
      <c r="F64" s="20">
        <f>F50+F63</f>
        <v>133671202</v>
      </c>
      <c r="G64" s="20">
        <f>G50+G63</f>
        <v>-32391399</v>
      </c>
      <c r="H64" s="20">
        <f>H50+H63</f>
        <v>101279803</v>
      </c>
      <c r="J64" s="20">
        <f>J50+J63</f>
        <v>120565557</v>
      </c>
      <c r="K64" s="20">
        <f>K50+K63</f>
        <v>20697452</v>
      </c>
      <c r="L64" s="20">
        <f>L50+L63</f>
        <v>141263009</v>
      </c>
      <c r="M64" s="20">
        <f>M50+M63</f>
        <v>-21317013</v>
      </c>
      <c r="N64" s="20">
        <f>N50+N63</f>
        <v>119945996</v>
      </c>
      <c r="P64" s="20">
        <f>P50+P63</f>
        <v>126573375</v>
      </c>
      <c r="Q64" s="20">
        <f>Q50+Q63</f>
        <v>11914233</v>
      </c>
      <c r="R64" s="20">
        <f t="shared" si="33"/>
        <v>138487608</v>
      </c>
      <c r="S64" s="20">
        <f>+S63+S50</f>
        <v>-10155018</v>
      </c>
      <c r="T64" s="20">
        <f>+T63+T50</f>
        <v>128332590</v>
      </c>
    </row>
    <row r="65" spans="1:20" x14ac:dyDescent="0.25">
      <c r="D65" s="15"/>
      <c r="E65" s="15"/>
      <c r="F65" s="15"/>
      <c r="G65" s="15"/>
      <c r="H65" s="15"/>
      <c r="J65" s="15"/>
      <c r="K65" s="15"/>
      <c r="L65" s="15"/>
      <c r="M65" s="15"/>
      <c r="N65" s="15"/>
      <c r="P65" s="19"/>
      <c r="Q65" s="19"/>
      <c r="R65" s="19"/>
      <c r="S65" s="19"/>
      <c r="T65" s="19"/>
    </row>
    <row r="66" spans="1:20" x14ac:dyDescent="0.25">
      <c r="A66" s="143" t="s">
        <v>43</v>
      </c>
      <c r="B66" s="40"/>
      <c r="C66" s="40"/>
      <c r="D66" s="47"/>
      <c r="E66" s="47"/>
      <c r="F66" s="47"/>
      <c r="G66" s="47"/>
      <c r="H66" s="47"/>
      <c r="I66" s="40"/>
      <c r="J66" s="47"/>
      <c r="K66" s="47"/>
      <c r="L66" s="47"/>
      <c r="M66" s="47"/>
      <c r="N66" s="47"/>
      <c r="O66" s="40"/>
      <c r="P66" s="39"/>
      <c r="Q66" s="39"/>
      <c r="R66" s="39"/>
      <c r="S66" s="39"/>
      <c r="T66" s="39"/>
    </row>
    <row r="67" spans="1:20" x14ac:dyDescent="0.25">
      <c r="A67" s="40"/>
      <c r="B67" s="40" t="s">
        <v>44</v>
      </c>
      <c r="C67" s="40"/>
      <c r="D67" s="51">
        <v>37143362</v>
      </c>
      <c r="E67" s="51">
        <v>13159302</v>
      </c>
      <c r="F67" s="39">
        <f>+D67+E67</f>
        <v>50302664</v>
      </c>
      <c r="G67" s="47"/>
      <c r="H67" s="39">
        <f t="shared" ref="H67:H70" si="35">+F67+G67</f>
        <v>50302664</v>
      </c>
      <c r="I67" s="40"/>
      <c r="J67" s="51">
        <f>+PAT!F21</f>
        <v>35042687</v>
      </c>
      <c r="K67" s="51">
        <f>+PAT!G21</f>
        <v>13159302</v>
      </c>
      <c r="L67" s="39">
        <f>+J67+K67</f>
        <v>48201989</v>
      </c>
      <c r="M67" s="47"/>
      <c r="N67" s="39">
        <f t="shared" ref="N67:N70" si="36">+L67+M67</f>
        <v>48201989</v>
      </c>
      <c r="O67" s="40"/>
      <c r="P67" s="51">
        <f>+PAT!F19</f>
        <v>30006697</v>
      </c>
      <c r="Q67" s="51">
        <f>+PAT!G19</f>
        <v>11015563</v>
      </c>
      <c r="R67" s="39">
        <f t="shared" ref="R67:R72" si="37">+P67+Q67</f>
        <v>41022260</v>
      </c>
      <c r="S67" s="39"/>
      <c r="T67" s="39">
        <f>+R67+S67</f>
        <v>41022260</v>
      </c>
    </row>
    <row r="68" spans="1:20" x14ac:dyDescent="0.25">
      <c r="A68" s="40"/>
      <c r="B68" s="40" t="s">
        <v>45</v>
      </c>
      <c r="C68" s="40"/>
      <c r="D68" s="51">
        <v>6115921</v>
      </c>
      <c r="E68" s="51"/>
      <c r="F68" s="39">
        <f t="shared" ref="F68:F70" si="38">+D68+E68</f>
        <v>6115921</v>
      </c>
      <c r="G68" s="47"/>
      <c r="H68" s="39">
        <f t="shared" si="35"/>
        <v>6115921</v>
      </c>
      <c r="I68" s="40"/>
      <c r="J68" s="51">
        <f>+PAT!F35</f>
        <v>920</v>
      </c>
      <c r="K68" s="51">
        <f>+PAT!G35</f>
        <v>0</v>
      </c>
      <c r="L68" s="39">
        <f t="shared" ref="L68:L70" si="39">+J68+K68</f>
        <v>920</v>
      </c>
      <c r="M68" s="47"/>
      <c r="N68" s="39">
        <f t="shared" si="36"/>
        <v>920</v>
      </c>
      <c r="O68" s="40"/>
      <c r="P68" s="51">
        <f>+PAT!F34</f>
        <v>920</v>
      </c>
      <c r="Q68" s="51">
        <f>+PAT!G34</f>
        <v>0</v>
      </c>
      <c r="R68" s="39">
        <f t="shared" si="37"/>
        <v>920</v>
      </c>
      <c r="S68" s="39"/>
      <c r="T68" s="39">
        <f>+R68+S68</f>
        <v>920</v>
      </c>
    </row>
    <row r="69" spans="1:20" x14ac:dyDescent="0.25">
      <c r="A69" s="40"/>
      <c r="B69" s="40" t="s">
        <v>46</v>
      </c>
      <c r="C69" s="40"/>
      <c r="D69" s="51">
        <f>6135361+34797</f>
        <v>6170158</v>
      </c>
      <c r="E69" s="51">
        <v>2026031</v>
      </c>
      <c r="F69" s="39">
        <f t="shared" si="38"/>
        <v>8196189</v>
      </c>
      <c r="G69" s="51"/>
      <c r="H69" s="39">
        <f t="shared" si="35"/>
        <v>8196189</v>
      </c>
      <c r="I69" s="40"/>
      <c r="J69" s="51">
        <f>+PAT!F63</f>
        <v>5257305.5599999996</v>
      </c>
      <c r="K69" s="51">
        <f>+PAT!G63</f>
        <v>1566076</v>
      </c>
      <c r="L69" s="39">
        <f t="shared" si="39"/>
        <v>6823381.5599999996</v>
      </c>
      <c r="M69" s="51">
        <f>+PAT!I63</f>
        <v>0</v>
      </c>
      <c r="N69" s="39">
        <f t="shared" si="36"/>
        <v>6823381.5599999996</v>
      </c>
      <c r="O69" s="40"/>
      <c r="P69" s="51">
        <f>+PAT!F50+PAT!F60</f>
        <v>4697751</v>
      </c>
      <c r="Q69" s="51">
        <f>+PAT!G50+PAT!G60+PAT!G69-1</f>
        <v>1651249</v>
      </c>
      <c r="R69" s="39">
        <f t="shared" si="37"/>
        <v>6349000</v>
      </c>
      <c r="S69" s="39"/>
      <c r="T69" s="39">
        <f>+R69+S69</f>
        <v>6349000</v>
      </c>
    </row>
    <row r="70" spans="1:20" x14ac:dyDescent="0.25">
      <c r="A70" s="40"/>
      <c r="B70" s="40" t="s">
        <v>47</v>
      </c>
      <c r="C70" s="40"/>
      <c r="D70" s="154">
        <v>56967362</v>
      </c>
      <c r="E70" s="154">
        <v>5815726</v>
      </c>
      <c r="F70" s="39">
        <f t="shared" si="38"/>
        <v>62783088</v>
      </c>
      <c r="G70" s="154">
        <f>PAT!I172</f>
        <v>-10095725.862550002</v>
      </c>
      <c r="H70" s="39">
        <f t="shared" si="35"/>
        <v>52687362.137449995</v>
      </c>
      <c r="I70" s="40"/>
      <c r="J70" s="154">
        <f>+PAT!F137</f>
        <v>41106066.449999988</v>
      </c>
      <c r="K70" s="154">
        <f>+PAT!G137</f>
        <v>2683535</v>
      </c>
      <c r="L70" s="39">
        <f t="shared" si="39"/>
        <v>43789601.449999988</v>
      </c>
      <c r="M70" s="154">
        <f>PAT!I137</f>
        <v>-11568229.612550002</v>
      </c>
      <c r="N70" s="39">
        <f t="shared" si="36"/>
        <v>32221371.837449986</v>
      </c>
      <c r="O70" s="40"/>
      <c r="P70" s="51">
        <f>+PAT!F69+PAT!F77+PAT!F90+PAT!F123</f>
        <v>36135934</v>
      </c>
      <c r="Q70" s="51">
        <f>+PAT!G77+PAT!G123+PAT!G90</f>
        <v>1584690</v>
      </c>
      <c r="R70" s="39">
        <f>+P70+Q70</f>
        <v>37720624</v>
      </c>
      <c r="S70" s="39">
        <f>+PAT!I123</f>
        <v>-14609377.588252001</v>
      </c>
      <c r="T70" s="39">
        <f>+R70+S70</f>
        <v>23111246.411747999</v>
      </c>
    </row>
    <row r="71" spans="1:20" x14ac:dyDescent="0.25">
      <c r="A71" s="143" t="s">
        <v>48</v>
      </c>
      <c r="B71" s="40"/>
      <c r="C71" s="40"/>
      <c r="D71" s="48">
        <f>SUM(D67:D70)</f>
        <v>106396803</v>
      </c>
      <c r="E71" s="48">
        <f>SUM(E67:E70)</f>
        <v>21001059</v>
      </c>
      <c r="F71" s="48">
        <f>SUM(F67:F70)</f>
        <v>127397862</v>
      </c>
      <c r="G71" s="48">
        <f>SUM(G67:G70)</f>
        <v>-10095725.862550002</v>
      </c>
      <c r="H71" s="48">
        <f>SUM(H67:H70)</f>
        <v>117302136.13744999</v>
      </c>
      <c r="I71" s="40"/>
      <c r="J71" s="48">
        <f>SUM(J67:J70)</f>
        <v>81406979.00999999</v>
      </c>
      <c r="K71" s="48">
        <f>SUM(K67:K70)</f>
        <v>17408913</v>
      </c>
      <c r="L71" s="48">
        <f>SUM(L67:L70)</f>
        <v>98815892.00999999</v>
      </c>
      <c r="M71" s="48">
        <f>SUM(M67:M70)</f>
        <v>-11568229.612550002</v>
      </c>
      <c r="N71" s="48">
        <f>SUM(N67:N70)</f>
        <v>87247662.397449985</v>
      </c>
      <c r="O71" s="40"/>
      <c r="P71" s="48">
        <f>SUM(P67:P70)</f>
        <v>70841302</v>
      </c>
      <c r="Q71" s="48">
        <f>SUM(Q67:Q70)</f>
        <v>14251502</v>
      </c>
      <c r="R71" s="48">
        <f t="shared" si="37"/>
        <v>85092804</v>
      </c>
      <c r="S71" s="48">
        <f>SUM(S67:S70)</f>
        <v>-14609377.588252001</v>
      </c>
      <c r="T71" s="48">
        <f>SUM(T67:T70)</f>
        <v>70483426.411747992</v>
      </c>
    </row>
    <row r="72" spans="1:20" x14ac:dyDescent="0.25">
      <c r="A72" s="143" t="s">
        <v>49</v>
      </c>
      <c r="B72" s="40"/>
      <c r="C72" s="40"/>
      <c r="D72" s="53">
        <f>+D71+D64</f>
        <v>215501686</v>
      </c>
      <c r="E72" s="53">
        <f>+E71+E64</f>
        <v>45567378</v>
      </c>
      <c r="F72" s="53">
        <f>+F71+F64</f>
        <v>261069064</v>
      </c>
      <c r="G72" s="53">
        <f>+G71+G64</f>
        <v>-42487124.862550005</v>
      </c>
      <c r="H72" s="53">
        <f>+H71+H64</f>
        <v>218581939.13744998</v>
      </c>
      <c r="I72" s="40"/>
      <c r="J72" s="53">
        <f>+J71+J64</f>
        <v>201972536.00999999</v>
      </c>
      <c r="K72" s="53">
        <f>+K71+K64</f>
        <v>38106365</v>
      </c>
      <c r="L72" s="53">
        <f>+L71+L64</f>
        <v>240078901.00999999</v>
      </c>
      <c r="M72" s="53">
        <f>+M71+M64</f>
        <v>-32885242.612550002</v>
      </c>
      <c r="N72" s="53">
        <f>+N71+N64</f>
        <v>207193658.39744997</v>
      </c>
      <c r="O72" s="40"/>
      <c r="P72" s="53">
        <f>+P71+P64</f>
        <v>197414677</v>
      </c>
      <c r="Q72" s="53">
        <f>+Q71+Q64</f>
        <v>26165735</v>
      </c>
      <c r="R72" s="53">
        <f t="shared" si="37"/>
        <v>223580412</v>
      </c>
      <c r="S72" s="53">
        <f>+S64+S71</f>
        <v>-24764395.588252001</v>
      </c>
      <c r="T72" s="53">
        <f>+T71+T64</f>
        <v>198816016.41174799</v>
      </c>
    </row>
    <row r="73" spans="1:20" s="163" customFormat="1" ht="11.25" x14ac:dyDescent="0.2">
      <c r="A73" s="161"/>
      <c r="B73" s="161"/>
      <c r="C73" s="161"/>
      <c r="D73" s="162">
        <f>+D72-D34</f>
        <v>0</v>
      </c>
      <c r="E73" s="162">
        <f>+E72-E34</f>
        <v>0</v>
      </c>
      <c r="F73" s="162">
        <f>+F72-F34</f>
        <v>0</v>
      </c>
      <c r="G73" s="177">
        <f>+G72-G34</f>
        <v>1914135.4151479974</v>
      </c>
      <c r="H73" s="162">
        <f>+H72-H34</f>
        <v>1914135.4151479602</v>
      </c>
      <c r="I73" s="161"/>
      <c r="J73" s="162">
        <f>+J72-J34</f>
        <v>-8.0000013113021851E-2</v>
      </c>
      <c r="K73" s="162">
        <f>+K72-K34</f>
        <v>0</v>
      </c>
      <c r="L73" s="162">
        <f>+L72-L34</f>
        <v>-8.0000013113021851E-2</v>
      </c>
      <c r="M73" s="162">
        <f>+M72-M34</f>
        <v>0.41514800116419792</v>
      </c>
      <c r="N73" s="162">
        <f>+N72-N34</f>
        <v>0.33514797687530518</v>
      </c>
      <c r="O73" s="161"/>
      <c r="P73" s="162">
        <f>+P72-P34</f>
        <v>0</v>
      </c>
      <c r="Q73" s="162">
        <f>+Q72-Q34</f>
        <v>0</v>
      </c>
      <c r="R73" s="162">
        <f>+R72-R34</f>
        <v>0</v>
      </c>
      <c r="S73" s="162">
        <f>+S72-S34</f>
        <v>0</v>
      </c>
      <c r="T73" s="162">
        <f>+T72-T34</f>
        <v>0</v>
      </c>
    </row>
    <row r="74" spans="1:20" x14ac:dyDescent="0.25">
      <c r="M74" s="38"/>
    </row>
    <row r="75" spans="1:20" x14ac:dyDescent="0.25">
      <c r="M75" s="38"/>
    </row>
    <row r="77" spans="1:20" x14ac:dyDescent="0.25">
      <c r="J77" s="63" t="s">
        <v>254</v>
      </c>
      <c r="K77" s="63"/>
      <c r="L77" s="63"/>
    </row>
    <row r="78" spans="1:20" x14ac:dyDescent="0.25">
      <c r="J78" s="4" t="s">
        <v>255</v>
      </c>
      <c r="K78" s="4"/>
      <c r="L78" s="4"/>
    </row>
  </sheetData>
  <mergeCells count="1">
    <mergeCell ref="A20:C20"/>
  </mergeCells>
  <pageMargins left="0.7" right="0.7" top="0.75" bottom="0.75" header="0.3" footer="0.3"/>
  <pageSetup scale="70" orientation="landscape" r:id="rId1"/>
  <colBreaks count="1" manualBreakCount="1">
    <brk id="20" max="6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4"/>
  <sheetViews>
    <sheetView zoomScale="98" zoomScaleNormal="98" workbookViewId="0">
      <pane xSplit="3" ySplit="5" topLeftCell="D29" activePane="bottomRight" state="frozen"/>
      <selection pane="topRight" activeCell="D1" sqref="D1"/>
      <selection pane="bottomLeft" activeCell="A6" sqref="A6"/>
      <selection pane="bottomRight" activeCell="F35" sqref="F35"/>
    </sheetView>
  </sheetViews>
  <sheetFormatPr defaultColWidth="11.42578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2.28515625" bestFit="1" customWidth="1"/>
    <col min="8" max="8" width="13.7109375" bestFit="1"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customWidth="1"/>
    <col min="16" max="16" width="13.28515625" customWidth="1"/>
    <col min="17" max="17" width="13.140625" customWidth="1"/>
    <col min="18" max="18" width="13.28515625" customWidth="1"/>
    <col min="19" max="19" width="12.28515625" bestFit="1" customWidth="1"/>
    <col min="20" max="20" width="13.7109375" bestFit="1" customWidth="1"/>
    <col min="21" max="21" width="1.85546875" customWidth="1"/>
    <col min="22" max="22" width="12.7109375" customWidth="1"/>
    <col min="23" max="23" width="12.28515625" bestFit="1" customWidth="1"/>
    <col min="24" max="24" width="12.7109375" customWidth="1"/>
    <col min="25" max="25" width="12.28515625" bestFit="1" customWidth="1"/>
  </cols>
  <sheetData>
    <row r="1" spans="1:20" x14ac:dyDescent="0.25">
      <c r="A1" s="2" t="s">
        <v>0</v>
      </c>
    </row>
    <row r="2" spans="1:20" x14ac:dyDescent="0.25">
      <c r="A2" s="1" t="s">
        <v>146</v>
      </c>
    </row>
    <row r="3" spans="1:20" x14ac:dyDescent="0.25">
      <c r="A3" s="1" t="s">
        <v>304</v>
      </c>
      <c r="D3" s="62"/>
      <c r="E3" s="12"/>
      <c r="F3" s="12"/>
      <c r="G3" s="12"/>
      <c r="H3" s="12"/>
      <c r="P3" s="62"/>
      <c r="Q3" s="12"/>
      <c r="R3" s="12"/>
      <c r="S3" s="12"/>
      <c r="T3" s="12"/>
    </row>
    <row r="4" spans="1:20" x14ac:dyDescent="0.25">
      <c r="A4" s="3" t="s">
        <v>18</v>
      </c>
      <c r="D4" s="19"/>
      <c r="E4" s="15"/>
      <c r="F4" s="15"/>
      <c r="G4" s="16" t="s">
        <v>51</v>
      </c>
      <c r="H4" s="16">
        <v>2019</v>
      </c>
      <c r="J4" s="23"/>
      <c r="K4" s="14"/>
      <c r="L4" s="14"/>
      <c r="M4" s="102" t="s">
        <v>51</v>
      </c>
      <c r="N4" s="102">
        <v>2018</v>
      </c>
      <c r="P4" s="19"/>
      <c r="Q4" s="15"/>
      <c r="R4" s="15"/>
      <c r="S4" s="16" t="s">
        <v>51</v>
      </c>
      <c r="T4" s="16">
        <v>2017</v>
      </c>
    </row>
    <row r="5" spans="1:20" x14ac:dyDescent="0.25">
      <c r="D5" s="25" t="s">
        <v>15</v>
      </c>
      <c r="E5" s="17" t="s">
        <v>16</v>
      </c>
      <c r="F5" s="17" t="s">
        <v>17</v>
      </c>
      <c r="G5" s="18" t="s">
        <v>147</v>
      </c>
      <c r="H5" s="17" t="s">
        <v>148</v>
      </c>
      <c r="J5" s="25" t="s">
        <v>15</v>
      </c>
      <c r="K5" s="17" t="s">
        <v>16</v>
      </c>
      <c r="L5" s="17" t="s">
        <v>17</v>
      </c>
      <c r="M5" s="18" t="s">
        <v>147</v>
      </c>
      <c r="N5" s="17" t="s">
        <v>148</v>
      </c>
      <c r="P5" s="25" t="s">
        <v>15</v>
      </c>
      <c r="Q5" s="17" t="s">
        <v>16</v>
      </c>
      <c r="R5" s="17" t="s">
        <v>17</v>
      </c>
      <c r="S5" s="18" t="s">
        <v>147</v>
      </c>
      <c r="T5" s="17" t="s">
        <v>148</v>
      </c>
    </row>
    <row r="6" spans="1:20" x14ac:dyDescent="0.25">
      <c r="D6" s="19"/>
      <c r="E6" s="15"/>
      <c r="F6" s="15"/>
      <c r="G6" s="15"/>
      <c r="H6" s="15"/>
      <c r="J6" s="19"/>
      <c r="K6" s="15"/>
      <c r="L6" s="15"/>
      <c r="M6" s="15"/>
      <c r="N6" s="15"/>
      <c r="P6" s="19"/>
      <c r="Q6" s="15"/>
      <c r="R6" s="15"/>
      <c r="S6" s="15"/>
      <c r="T6" s="15"/>
    </row>
    <row r="7" spans="1:20" x14ac:dyDescent="0.25">
      <c r="A7" t="s">
        <v>52</v>
      </c>
      <c r="D7" s="19">
        <v>188935575</v>
      </c>
      <c r="E7" s="19">
        <v>136513946</v>
      </c>
      <c r="F7" s="19">
        <f>+D7+E7</f>
        <v>325449521</v>
      </c>
      <c r="G7" s="19">
        <f>-AD!G7-AD!G21</f>
        <v>-93236329</v>
      </c>
      <c r="H7" s="19">
        <f>+F7+G7</f>
        <v>232213192</v>
      </c>
      <c r="J7" s="19">
        <v>159047272.44999999</v>
      </c>
      <c r="K7" s="19">
        <v>102550885</v>
      </c>
      <c r="L7" s="19">
        <f t="shared" ref="L7:L8" si="0">+J7+K7</f>
        <v>261598157.44999999</v>
      </c>
      <c r="M7" s="19">
        <f>-AD!I7-AD!I21</f>
        <v>-74964912</v>
      </c>
      <c r="N7" s="19">
        <f>+L7+M7</f>
        <v>186633245.44999999</v>
      </c>
      <c r="P7" s="19">
        <v>152924768</v>
      </c>
      <c r="Q7" s="19">
        <v>73699302</v>
      </c>
      <c r="R7" s="19">
        <f>+P7+Q7</f>
        <v>226624070</v>
      </c>
      <c r="S7" s="19">
        <f>-AD!K7-AD!K21</f>
        <v>-52109713</v>
      </c>
      <c r="T7" s="19">
        <f>+R7+S7</f>
        <v>174514357</v>
      </c>
    </row>
    <row r="8" spans="1:20" x14ac:dyDescent="0.25">
      <c r="A8" t="s">
        <v>53</v>
      </c>
      <c r="D8" s="19">
        <v>-86032572</v>
      </c>
      <c r="E8" s="19">
        <v>-104336370</v>
      </c>
      <c r="F8" s="19">
        <f>+D8+E8</f>
        <v>-190368942</v>
      </c>
      <c r="G8" s="19">
        <f>+AD!H9+AD!H23+AD!H40</f>
        <v>94669410</v>
      </c>
      <c r="H8" s="19">
        <f>+F8+G8</f>
        <v>-95699532</v>
      </c>
      <c r="J8" s="19">
        <v>-103569767</v>
      </c>
      <c r="K8" s="19">
        <v>-78484726</v>
      </c>
      <c r="L8" s="19">
        <f t="shared" si="0"/>
        <v>-182054493</v>
      </c>
      <c r="M8" s="19">
        <f>+AD!J9+AD!J23+AD!J40+AD!J50</f>
        <v>78864082</v>
      </c>
      <c r="N8" s="19">
        <f>+L8+M8</f>
        <v>-103190411</v>
      </c>
      <c r="P8" s="19">
        <v>-71809934</v>
      </c>
      <c r="Q8" s="19">
        <v>-55517093</v>
      </c>
      <c r="R8" s="19">
        <f>+P8+Q8</f>
        <v>-127327027</v>
      </c>
      <c r="S8" s="19">
        <f>+AD!L9+AD!L23+AD!L40</f>
        <v>53367742</v>
      </c>
      <c r="T8" s="19">
        <f>+R8+S8</f>
        <v>-73959285</v>
      </c>
    </row>
    <row r="9" spans="1:20" x14ac:dyDescent="0.25">
      <c r="A9" t="s">
        <v>54</v>
      </c>
      <c r="D9" s="20">
        <f>+D7+D8</f>
        <v>102903003</v>
      </c>
      <c r="E9" s="20">
        <f>+E7+E8</f>
        <v>32177576</v>
      </c>
      <c r="F9" s="20">
        <f>+F7+F8</f>
        <v>135080579</v>
      </c>
      <c r="G9" s="20">
        <f>+G7+G8</f>
        <v>1433081</v>
      </c>
      <c r="H9" s="20">
        <f>+H7+H8</f>
        <v>136513660</v>
      </c>
      <c r="J9" s="20">
        <f>+J7+J8</f>
        <v>55477505.449999988</v>
      </c>
      <c r="K9" s="20">
        <f>+K7+K8</f>
        <v>24066159</v>
      </c>
      <c r="L9" s="20">
        <f>+L7+L8</f>
        <v>79543664.449999988</v>
      </c>
      <c r="M9" s="20">
        <f>+M7+M8</f>
        <v>3899170</v>
      </c>
      <c r="N9" s="20">
        <f>+N7+N8</f>
        <v>83442834.449999988</v>
      </c>
      <c r="P9" s="20">
        <f>+P7+P8</f>
        <v>81114834</v>
      </c>
      <c r="Q9" s="20">
        <f>+Q7+Q8</f>
        <v>18182209</v>
      </c>
      <c r="R9" s="20">
        <f>+R7+R8</f>
        <v>99297043</v>
      </c>
      <c r="S9" s="20">
        <f>+S7+S8</f>
        <v>1258029</v>
      </c>
      <c r="T9" s="20">
        <f>+T7+T8</f>
        <v>100555072</v>
      </c>
    </row>
    <row r="10" spans="1:20" x14ac:dyDescent="0.25">
      <c r="D10" s="19"/>
      <c r="E10" s="19"/>
      <c r="F10" s="19"/>
      <c r="G10" s="19"/>
      <c r="H10" s="19"/>
      <c r="J10" s="19"/>
      <c r="K10" s="19"/>
      <c r="L10" s="19"/>
      <c r="M10" s="19"/>
      <c r="N10" s="19"/>
      <c r="P10" s="19"/>
      <c r="Q10" s="19"/>
      <c r="R10" s="19"/>
      <c r="S10" s="19"/>
      <c r="T10" s="19"/>
    </row>
    <row r="11" spans="1:20" x14ac:dyDescent="0.25">
      <c r="A11" t="s">
        <v>203</v>
      </c>
      <c r="D11" s="19">
        <v>-76144908</v>
      </c>
      <c r="E11" s="19">
        <f>-6284043-16081504</f>
        <v>-22365547</v>
      </c>
      <c r="F11" s="19">
        <f>+D11+E11</f>
        <v>-98510455</v>
      </c>
      <c r="G11" s="19"/>
      <c r="H11" s="27">
        <f t="shared" ref="H11:H26" si="1">+F11+G11</f>
        <v>-98510455</v>
      </c>
      <c r="J11" s="27"/>
      <c r="K11" s="27"/>
      <c r="L11" s="27"/>
      <c r="M11" s="27"/>
      <c r="N11" s="27">
        <f t="shared" ref="N11:N26" si="2">+L11+M11</f>
        <v>0</v>
      </c>
      <c r="P11" s="19">
        <v>-63291970</v>
      </c>
      <c r="Q11" s="19">
        <v>-14726048</v>
      </c>
      <c r="R11" s="19">
        <f>+P11+Q11</f>
        <v>-78018018</v>
      </c>
      <c r="S11" s="19"/>
      <c r="T11" s="27">
        <f t="shared" ref="T11:T26" si="3">+R11+S11</f>
        <v>-78018018</v>
      </c>
    </row>
    <row r="12" spans="1:20" hidden="1" outlineLevel="1" x14ac:dyDescent="0.25">
      <c r="A12" t="s">
        <v>60</v>
      </c>
      <c r="D12" s="19"/>
      <c r="E12" s="19"/>
      <c r="F12" s="19">
        <f t="shared" ref="F12:F25" si="4">+D12+E12</f>
        <v>0</v>
      </c>
      <c r="G12" s="19"/>
      <c r="H12" s="19">
        <f t="shared" si="1"/>
        <v>0</v>
      </c>
      <c r="J12" s="19"/>
      <c r="K12" s="19"/>
      <c r="L12" s="19"/>
      <c r="M12" s="19"/>
      <c r="N12" s="19">
        <f t="shared" si="2"/>
        <v>0</v>
      </c>
      <c r="P12" s="19"/>
      <c r="Q12" s="19"/>
      <c r="R12" s="19">
        <f t="shared" ref="R12:R25" si="5">+P12+Q12</f>
        <v>0</v>
      </c>
      <c r="S12" s="19"/>
      <c r="T12" s="19">
        <f t="shared" si="3"/>
        <v>0</v>
      </c>
    </row>
    <row r="13" spans="1:20" hidden="1" outlineLevel="1" x14ac:dyDescent="0.25">
      <c r="A13" t="s">
        <v>65</v>
      </c>
      <c r="D13" s="19"/>
      <c r="E13" s="19"/>
      <c r="F13" s="19">
        <f t="shared" si="4"/>
        <v>0</v>
      </c>
      <c r="G13" s="19"/>
      <c r="H13" s="19">
        <f t="shared" si="1"/>
        <v>0</v>
      </c>
      <c r="J13" s="19"/>
      <c r="K13" s="19"/>
      <c r="L13" s="19"/>
      <c r="M13" s="19"/>
      <c r="N13" s="19">
        <f t="shared" si="2"/>
        <v>0</v>
      </c>
      <c r="P13" s="19"/>
      <c r="Q13" s="19"/>
      <c r="R13" s="19">
        <f t="shared" si="5"/>
        <v>0</v>
      </c>
      <c r="S13" s="19"/>
      <c r="T13" s="19">
        <f t="shared" si="3"/>
        <v>0</v>
      </c>
    </row>
    <row r="14" spans="1:20" hidden="1" outlineLevel="1" x14ac:dyDescent="0.25">
      <c r="A14" t="s">
        <v>62</v>
      </c>
      <c r="D14" s="19"/>
      <c r="E14" s="19"/>
      <c r="F14" s="19">
        <f t="shared" si="4"/>
        <v>0</v>
      </c>
      <c r="G14" s="19"/>
      <c r="H14" s="19">
        <f t="shared" si="1"/>
        <v>0</v>
      </c>
      <c r="J14" s="19"/>
      <c r="K14" s="19"/>
      <c r="L14" s="19"/>
      <c r="M14" s="19"/>
      <c r="N14" s="19">
        <f t="shared" si="2"/>
        <v>0</v>
      </c>
      <c r="P14" s="19"/>
      <c r="Q14" s="19"/>
      <c r="R14" s="19">
        <f t="shared" si="5"/>
        <v>0</v>
      </c>
      <c r="S14" s="19"/>
      <c r="T14" s="19">
        <f t="shared" si="3"/>
        <v>0</v>
      </c>
    </row>
    <row r="15" spans="1:20" hidden="1" outlineLevel="1" x14ac:dyDescent="0.25">
      <c r="A15" t="s">
        <v>61</v>
      </c>
      <c r="D15" s="19"/>
      <c r="E15" s="19"/>
      <c r="F15" s="19">
        <f t="shared" si="4"/>
        <v>0</v>
      </c>
      <c r="G15" s="19"/>
      <c r="H15" s="19">
        <f t="shared" si="1"/>
        <v>0</v>
      </c>
      <c r="J15" s="19"/>
      <c r="K15" s="19"/>
      <c r="L15" s="19"/>
      <c r="M15" s="19"/>
      <c r="N15" s="19">
        <f t="shared" si="2"/>
        <v>0</v>
      </c>
      <c r="P15" s="19"/>
      <c r="Q15" s="19"/>
      <c r="R15" s="19">
        <f t="shared" si="5"/>
        <v>0</v>
      </c>
      <c r="S15" s="19"/>
      <c r="T15" s="19">
        <f t="shared" si="3"/>
        <v>0</v>
      </c>
    </row>
    <row r="16" spans="1:20" hidden="1" outlineLevel="1" x14ac:dyDescent="0.25">
      <c r="A16" t="s">
        <v>97</v>
      </c>
      <c r="D16" s="19"/>
      <c r="E16" s="19"/>
      <c r="F16" s="19">
        <f t="shared" si="4"/>
        <v>0</v>
      </c>
      <c r="G16" s="19"/>
      <c r="H16" s="19">
        <f t="shared" si="1"/>
        <v>0</v>
      </c>
      <c r="J16" s="19"/>
      <c r="K16" s="19"/>
      <c r="L16" s="19"/>
      <c r="M16" s="19"/>
      <c r="N16" s="19">
        <f t="shared" si="2"/>
        <v>0</v>
      </c>
      <c r="P16" s="19"/>
      <c r="Q16" s="19"/>
      <c r="R16" s="19">
        <f t="shared" si="5"/>
        <v>0</v>
      </c>
      <c r="S16" s="19"/>
      <c r="T16" s="19">
        <f t="shared" si="3"/>
        <v>0</v>
      </c>
    </row>
    <row r="17" spans="1:20" hidden="1" outlineLevel="1" x14ac:dyDescent="0.25">
      <c r="A17" t="s">
        <v>64</v>
      </c>
      <c r="D17" s="19"/>
      <c r="E17" s="19"/>
      <c r="F17" s="19">
        <f t="shared" si="4"/>
        <v>0</v>
      </c>
      <c r="G17" s="19"/>
      <c r="H17" s="19">
        <f t="shared" si="1"/>
        <v>0</v>
      </c>
      <c r="J17" s="19"/>
      <c r="K17" s="19"/>
      <c r="L17" s="19"/>
      <c r="M17" s="19"/>
      <c r="N17" s="19">
        <f t="shared" si="2"/>
        <v>0</v>
      </c>
      <c r="P17" s="19"/>
      <c r="Q17" s="19"/>
      <c r="R17" s="19">
        <f t="shared" si="5"/>
        <v>0</v>
      </c>
      <c r="S17" s="19"/>
      <c r="T17" s="19">
        <f t="shared" si="3"/>
        <v>0</v>
      </c>
    </row>
    <row r="18" spans="1:20" hidden="1" outlineLevel="1" x14ac:dyDescent="0.25">
      <c r="A18" t="s">
        <v>63</v>
      </c>
      <c r="D18" s="19"/>
      <c r="E18" s="19"/>
      <c r="F18" s="19">
        <f t="shared" si="4"/>
        <v>0</v>
      </c>
      <c r="G18" s="19"/>
      <c r="H18" s="19">
        <f t="shared" si="1"/>
        <v>0</v>
      </c>
      <c r="J18" s="19"/>
      <c r="K18" s="19"/>
      <c r="L18" s="19"/>
      <c r="M18" s="19"/>
      <c r="N18" s="19">
        <f t="shared" si="2"/>
        <v>0</v>
      </c>
      <c r="P18" s="19"/>
      <c r="Q18" s="19"/>
      <c r="R18" s="19">
        <f t="shared" si="5"/>
        <v>0</v>
      </c>
      <c r="S18" s="19"/>
      <c r="T18" s="19">
        <f t="shared" si="3"/>
        <v>0</v>
      </c>
    </row>
    <row r="19" spans="1:20" hidden="1" outlineLevel="1" x14ac:dyDescent="0.25">
      <c r="A19" t="s">
        <v>67</v>
      </c>
      <c r="D19" s="19"/>
      <c r="E19" s="19"/>
      <c r="F19" s="19">
        <f t="shared" si="4"/>
        <v>0</v>
      </c>
      <c r="G19" s="19"/>
      <c r="H19" s="19">
        <f t="shared" si="1"/>
        <v>0</v>
      </c>
      <c r="J19" s="19"/>
      <c r="K19" s="19"/>
      <c r="L19" s="19"/>
      <c r="M19" s="19"/>
      <c r="N19" s="19">
        <f t="shared" si="2"/>
        <v>0</v>
      </c>
      <c r="P19" s="19"/>
      <c r="Q19" s="19"/>
      <c r="R19" s="19">
        <f t="shared" si="5"/>
        <v>0</v>
      </c>
      <c r="S19" s="19"/>
      <c r="T19" s="19">
        <f t="shared" si="3"/>
        <v>0</v>
      </c>
    </row>
    <row r="20" spans="1:20" hidden="1" outlineLevel="1" x14ac:dyDescent="0.25">
      <c r="A20" t="s">
        <v>66</v>
      </c>
      <c r="D20" s="19"/>
      <c r="E20" s="19"/>
      <c r="F20" s="19">
        <f t="shared" si="4"/>
        <v>0</v>
      </c>
      <c r="G20" s="19"/>
      <c r="H20" s="19">
        <f t="shared" si="1"/>
        <v>0</v>
      </c>
      <c r="J20" s="19"/>
      <c r="K20" s="19"/>
      <c r="L20" s="19"/>
      <c r="M20" s="19"/>
      <c r="N20" s="19">
        <f t="shared" si="2"/>
        <v>0</v>
      </c>
      <c r="P20" s="19"/>
      <c r="Q20" s="19"/>
      <c r="R20" s="19">
        <f t="shared" si="5"/>
        <v>0</v>
      </c>
      <c r="S20" s="19"/>
      <c r="T20" s="19">
        <f t="shared" si="3"/>
        <v>0</v>
      </c>
    </row>
    <row r="21" spans="1:20" hidden="1" outlineLevel="1" x14ac:dyDescent="0.25">
      <c r="A21" t="s">
        <v>69</v>
      </c>
      <c r="D21" s="19"/>
      <c r="E21" s="19"/>
      <c r="F21" s="19">
        <f t="shared" si="4"/>
        <v>0</v>
      </c>
      <c r="G21" s="19"/>
      <c r="H21" s="19">
        <f t="shared" si="1"/>
        <v>0</v>
      </c>
      <c r="J21" s="19"/>
      <c r="K21" s="19"/>
      <c r="L21" s="19"/>
      <c r="M21" s="19"/>
      <c r="N21" s="19">
        <f t="shared" si="2"/>
        <v>0</v>
      </c>
      <c r="P21" s="19"/>
      <c r="Q21" s="19"/>
      <c r="R21" s="19">
        <f t="shared" si="5"/>
        <v>0</v>
      </c>
      <c r="S21" s="19"/>
      <c r="T21" s="19">
        <f t="shared" si="3"/>
        <v>0</v>
      </c>
    </row>
    <row r="22" spans="1:20" hidden="1" outlineLevel="1" x14ac:dyDescent="0.25">
      <c r="A22" t="s">
        <v>70</v>
      </c>
      <c r="D22" s="19"/>
      <c r="E22" s="19"/>
      <c r="F22" s="19">
        <f t="shared" si="4"/>
        <v>0</v>
      </c>
      <c r="G22" s="19"/>
      <c r="H22" s="19">
        <f t="shared" si="1"/>
        <v>0</v>
      </c>
      <c r="J22" s="19"/>
      <c r="K22" s="19"/>
      <c r="L22" s="19"/>
      <c r="M22" s="19"/>
      <c r="N22" s="19">
        <f t="shared" si="2"/>
        <v>0</v>
      </c>
      <c r="P22" s="19"/>
      <c r="Q22" s="19"/>
      <c r="R22" s="19">
        <f t="shared" si="5"/>
        <v>0</v>
      </c>
      <c r="S22" s="19"/>
      <c r="T22" s="19">
        <f t="shared" si="3"/>
        <v>0</v>
      </c>
    </row>
    <row r="23" spans="1:20" hidden="1" outlineLevel="1" x14ac:dyDescent="0.25">
      <c r="A23" t="s">
        <v>68</v>
      </c>
      <c r="D23" s="19"/>
      <c r="E23" s="19"/>
      <c r="F23" s="19">
        <f t="shared" si="4"/>
        <v>0</v>
      </c>
      <c r="G23" s="19"/>
      <c r="H23" s="19">
        <f t="shared" si="1"/>
        <v>0</v>
      </c>
      <c r="J23" s="19"/>
      <c r="K23" s="19"/>
      <c r="L23" s="19"/>
      <c r="M23" s="19"/>
      <c r="N23" s="19">
        <f t="shared" si="2"/>
        <v>0</v>
      </c>
      <c r="P23" s="19"/>
      <c r="Q23" s="19"/>
      <c r="R23" s="19">
        <f t="shared" si="5"/>
        <v>0</v>
      </c>
      <c r="S23" s="19"/>
      <c r="T23" s="19">
        <f t="shared" si="3"/>
        <v>0</v>
      </c>
    </row>
    <row r="24" spans="1:20" hidden="1" outlineLevel="1" x14ac:dyDescent="0.25">
      <c r="A24" t="s">
        <v>71</v>
      </c>
      <c r="D24" s="19"/>
      <c r="E24" s="19"/>
      <c r="F24" s="19">
        <f t="shared" si="4"/>
        <v>0</v>
      </c>
      <c r="G24" s="19"/>
      <c r="H24" s="19">
        <f t="shared" si="1"/>
        <v>0</v>
      </c>
      <c r="J24" s="19"/>
      <c r="K24" s="19"/>
      <c r="L24" s="19"/>
      <c r="M24" s="19"/>
      <c r="N24" s="19">
        <f t="shared" si="2"/>
        <v>0</v>
      </c>
      <c r="P24" s="19"/>
      <c r="Q24" s="19"/>
      <c r="R24" s="19">
        <f t="shared" si="5"/>
        <v>0</v>
      </c>
      <c r="S24" s="19"/>
      <c r="T24" s="19">
        <f t="shared" si="3"/>
        <v>0</v>
      </c>
    </row>
    <row r="25" spans="1:20" collapsed="1" x14ac:dyDescent="0.25">
      <c r="A25" t="s">
        <v>72</v>
      </c>
      <c r="D25" s="23">
        <f>D11</f>
        <v>-76144908</v>
      </c>
      <c r="E25" s="23">
        <f>E11</f>
        <v>-22365547</v>
      </c>
      <c r="F25" s="23">
        <f t="shared" si="4"/>
        <v>-98510455</v>
      </c>
      <c r="G25" s="23">
        <f>SUM(G12:G24)</f>
        <v>0</v>
      </c>
      <c r="H25" s="19">
        <f t="shared" si="1"/>
        <v>-98510455</v>
      </c>
      <c r="J25" s="19">
        <f>-34477490-2404929</f>
        <v>-36882419</v>
      </c>
      <c r="K25" s="23">
        <f>-4893753-14017203</f>
        <v>-18910956</v>
      </c>
      <c r="L25" s="19">
        <f t="shared" ref="L25" si="6">+J25+K25</f>
        <v>-55793375</v>
      </c>
      <c r="M25" s="23"/>
      <c r="N25" s="19">
        <f t="shared" si="2"/>
        <v>-55793375</v>
      </c>
      <c r="P25" s="23">
        <f>P11</f>
        <v>-63291970</v>
      </c>
      <c r="Q25" s="23">
        <f>Q11</f>
        <v>-14726048</v>
      </c>
      <c r="R25" s="23">
        <f t="shared" si="5"/>
        <v>-78018018</v>
      </c>
      <c r="S25" s="23">
        <f>SUM(S12:S24)</f>
        <v>0</v>
      </c>
      <c r="T25" s="19">
        <f t="shared" si="3"/>
        <v>-78018018</v>
      </c>
    </row>
    <row r="26" spans="1:20" x14ac:dyDescent="0.25">
      <c r="D26" s="19"/>
      <c r="E26" s="19"/>
      <c r="F26" s="19"/>
      <c r="G26" s="19"/>
      <c r="H26" s="19">
        <f t="shared" si="1"/>
        <v>0</v>
      </c>
      <c r="J26" s="19"/>
      <c r="K26" s="19"/>
      <c r="L26" s="19"/>
      <c r="M26" s="19"/>
      <c r="N26" s="19">
        <f t="shared" si="2"/>
        <v>0</v>
      </c>
      <c r="P26" s="19"/>
      <c r="Q26" s="19"/>
      <c r="R26" s="19"/>
      <c r="S26" s="19"/>
      <c r="T26" s="19">
        <f t="shared" si="3"/>
        <v>0</v>
      </c>
    </row>
    <row r="27" spans="1:20" hidden="1" x14ac:dyDescent="0.25">
      <c r="A27" t="s">
        <v>59</v>
      </c>
      <c r="D27" s="40"/>
      <c r="E27" s="39"/>
      <c r="F27" s="19">
        <f>+D27+E27</f>
        <v>0</v>
      </c>
      <c r="G27" s="19"/>
      <c r="H27" s="19">
        <f>+F27+G27</f>
        <v>0</v>
      </c>
      <c r="J27" s="40"/>
      <c r="K27" s="39"/>
      <c r="L27" s="19">
        <f t="shared" ref="L27:L28" si="7">+J27+K27</f>
        <v>0</v>
      </c>
      <c r="M27" s="19"/>
      <c r="N27" s="19">
        <f>+L27+M27</f>
        <v>0</v>
      </c>
      <c r="P27" s="40"/>
      <c r="Q27" s="39"/>
      <c r="R27" s="19">
        <f>+P27+Q27</f>
        <v>0</v>
      </c>
      <c r="S27" s="19"/>
      <c r="T27" s="19">
        <f>+R27+S27</f>
        <v>0</v>
      </c>
    </row>
    <row r="28" spans="1:20" x14ac:dyDescent="0.25">
      <c r="A28" t="s">
        <v>272</v>
      </c>
      <c r="D28" s="39">
        <v>1719208</v>
      </c>
      <c r="E28" s="39">
        <v>451754</v>
      </c>
      <c r="F28" s="19">
        <f>+D28+E28</f>
        <v>2170962</v>
      </c>
      <c r="G28" s="39">
        <f>+AD!H47</f>
        <v>397693</v>
      </c>
      <c r="H28" s="19">
        <f>+F28+G28</f>
        <v>2568655</v>
      </c>
      <c r="J28" s="19">
        <v>-1477407</v>
      </c>
      <c r="K28" s="39">
        <v>377387</v>
      </c>
      <c r="L28" s="19">
        <f t="shared" si="7"/>
        <v>-1100020</v>
      </c>
      <c r="M28" s="19">
        <f>+AD!J15-AD!I34</f>
        <v>-259633</v>
      </c>
      <c r="N28" s="19">
        <f>+L28+M28</f>
        <v>-1359653</v>
      </c>
      <c r="P28" s="39">
        <v>-3618624</v>
      </c>
      <c r="Q28" s="39">
        <f>-85300+344362</f>
        <v>259062</v>
      </c>
      <c r="R28" s="19">
        <f>+P28+Q28</f>
        <v>-3359562</v>
      </c>
      <c r="S28" s="39">
        <f>-AD!K15</f>
        <v>-12940</v>
      </c>
      <c r="T28" s="19">
        <f>+R28+S28</f>
        <v>-3372502</v>
      </c>
    </row>
    <row r="29" spans="1:20" x14ac:dyDescent="0.25">
      <c r="A29" t="s">
        <v>55</v>
      </c>
      <c r="D29" s="20">
        <f>+D9+D25+D27+D28</f>
        <v>28477303</v>
      </c>
      <c r="E29" s="20">
        <f>+E9+E25+E27+E28</f>
        <v>10263783</v>
      </c>
      <c r="F29" s="20">
        <f>+F9+F25+F27+F28</f>
        <v>38741086</v>
      </c>
      <c r="G29" s="20">
        <f>+G9+G25+G27+G28</f>
        <v>1830774</v>
      </c>
      <c r="H29" s="20">
        <f>+H9+H25+H27+H28</f>
        <v>40571860</v>
      </c>
      <c r="J29" s="20">
        <f>+J9+J25+J27+J28</f>
        <v>17117679.449999988</v>
      </c>
      <c r="K29" s="20">
        <f>+K9+K25+K27+K28</f>
        <v>5532590</v>
      </c>
      <c r="L29" s="20">
        <f>+J29+K29</f>
        <v>22650269.449999988</v>
      </c>
      <c r="M29" s="20">
        <f>+M9+M25+M27+M28</f>
        <v>3639537</v>
      </c>
      <c r="N29" s="20">
        <f>+L29+M29</f>
        <v>26289806.449999988</v>
      </c>
      <c r="P29" s="20">
        <f>+P9+P25+P27+P28</f>
        <v>14204240</v>
      </c>
      <c r="Q29" s="20">
        <f>+Q9+Q25+Q27+Q28</f>
        <v>3715223</v>
      </c>
      <c r="R29" s="20">
        <f>+R9+R25+R27+R28</f>
        <v>17919463</v>
      </c>
      <c r="S29" s="20">
        <f>+S9+S25+S27+S28</f>
        <v>1245089</v>
      </c>
      <c r="T29" s="20">
        <f>+T9+T25+T27+T28</f>
        <v>19164552</v>
      </c>
    </row>
    <row r="30" spans="1:20" x14ac:dyDescent="0.25">
      <c r="D30" s="19"/>
      <c r="E30" s="19"/>
      <c r="F30" s="19"/>
      <c r="G30" s="19"/>
      <c r="H30" s="19"/>
      <c r="J30" s="19"/>
      <c r="K30" s="19"/>
      <c r="L30" s="19"/>
      <c r="M30" s="19"/>
      <c r="N30" s="19"/>
      <c r="P30" s="19"/>
      <c r="Q30" s="19"/>
      <c r="R30" s="19"/>
      <c r="S30" s="19"/>
      <c r="T30" s="19"/>
    </row>
    <row r="31" spans="1:20" x14ac:dyDescent="0.25">
      <c r="A31" t="s">
        <v>56</v>
      </c>
      <c r="D31" s="19">
        <v>-1717281</v>
      </c>
      <c r="E31" s="19">
        <v>-670216</v>
      </c>
      <c r="F31" s="19">
        <f>+D31+E31</f>
        <v>-2387497</v>
      </c>
      <c r="G31" s="19"/>
      <c r="H31" s="19">
        <f>+F31+G31</f>
        <v>-2387497</v>
      </c>
      <c r="J31" s="19">
        <v>-3489748</v>
      </c>
      <c r="K31" s="19">
        <v>-317180</v>
      </c>
      <c r="L31" s="19">
        <f>+J31+K31</f>
        <v>-3806928</v>
      </c>
      <c r="M31" s="19"/>
      <c r="N31" s="19">
        <f>+L31+M31</f>
        <v>-3806928</v>
      </c>
      <c r="P31" s="19">
        <v>-5186848</v>
      </c>
      <c r="Q31" s="19">
        <v>-445202</v>
      </c>
      <c r="R31" s="19">
        <f>+P31+Q31</f>
        <v>-5632050</v>
      </c>
      <c r="S31" s="19"/>
      <c r="T31" s="19">
        <f>+R31+S31</f>
        <v>-5632050</v>
      </c>
    </row>
    <row r="32" spans="1:20" x14ac:dyDescent="0.25">
      <c r="A32" t="s">
        <v>57</v>
      </c>
      <c r="D32" s="20">
        <f>+D29+D31</f>
        <v>26760022</v>
      </c>
      <c r="E32" s="20">
        <f>+E29+E31</f>
        <v>9593567</v>
      </c>
      <c r="F32" s="20">
        <f>+F29+F31</f>
        <v>36353589</v>
      </c>
      <c r="G32" s="20">
        <f>+G29+G31</f>
        <v>1830774</v>
      </c>
      <c r="H32" s="20">
        <f>+H29+H31</f>
        <v>38184363</v>
      </c>
      <c r="J32" s="20">
        <f>+J29+J31</f>
        <v>13627931.449999988</v>
      </c>
      <c r="K32" s="20">
        <f>+K29+K31</f>
        <v>5215410</v>
      </c>
      <c r="L32" s="20">
        <f>+L29+L31</f>
        <v>18843341.449999988</v>
      </c>
      <c r="M32" s="20">
        <f>+M29+M31</f>
        <v>3639537</v>
      </c>
      <c r="N32" s="20">
        <f>+N29+N31</f>
        <v>22482878.449999988</v>
      </c>
      <c r="P32" s="20">
        <f>+P29+P31</f>
        <v>9017392</v>
      </c>
      <c r="Q32" s="20">
        <f>+Q29+Q31</f>
        <v>3270021</v>
      </c>
      <c r="R32" s="20">
        <f>+R29+R31</f>
        <v>12287413</v>
      </c>
      <c r="S32" s="20">
        <f>+S29+S31</f>
        <v>1245089</v>
      </c>
      <c r="T32" s="20">
        <f>+T29+T31</f>
        <v>13532502</v>
      </c>
    </row>
    <row r="33" spans="1:21" x14ac:dyDescent="0.25">
      <c r="D33" s="19"/>
      <c r="E33" s="19"/>
      <c r="F33" s="19"/>
      <c r="G33" s="19"/>
      <c r="H33" s="19"/>
      <c r="J33" s="19"/>
      <c r="K33" s="19"/>
      <c r="L33" s="19"/>
      <c r="M33" s="19"/>
      <c r="N33" s="19"/>
      <c r="P33" s="19"/>
      <c r="Q33" s="19"/>
      <c r="R33" s="19"/>
      <c r="S33" s="19"/>
      <c r="T33" s="19"/>
    </row>
    <row r="34" spans="1:21" x14ac:dyDescent="0.25">
      <c r="A34" t="s">
        <v>337</v>
      </c>
      <c r="D34" s="19"/>
      <c r="E34" s="19">
        <v>-2500922</v>
      </c>
      <c r="F34" s="19">
        <f>+D34+E34</f>
        <v>-2500922</v>
      </c>
      <c r="G34" s="39">
        <f>+AD!H62</f>
        <v>-358270.25</v>
      </c>
      <c r="H34" s="39">
        <f>+F34+G34</f>
        <v>-2859192.25</v>
      </c>
      <c r="J34" s="19">
        <v>-4237903</v>
      </c>
      <c r="K34" s="19">
        <v>-1467605</v>
      </c>
      <c r="L34" s="19">
        <f>+J34+K34</f>
        <v>-5705508</v>
      </c>
      <c r="M34" s="19">
        <f>+AD!J62+AD!J57</f>
        <v>-598389.02429799992</v>
      </c>
      <c r="N34" s="39">
        <f>+L34+M34</f>
        <v>-6303897.0242980001</v>
      </c>
      <c r="P34" s="19">
        <v>-3550763</v>
      </c>
      <c r="Q34" s="19">
        <v>-676345</v>
      </c>
      <c r="R34" s="19">
        <f>+P34+Q34</f>
        <v>-4227108</v>
      </c>
      <c r="S34" s="39">
        <f>AD!L62</f>
        <v>591847.41514800023</v>
      </c>
      <c r="T34" s="39">
        <f>+R34+S34</f>
        <v>-3635260.5848519998</v>
      </c>
    </row>
    <row r="35" spans="1:21" x14ac:dyDescent="0.25">
      <c r="A35" t="s">
        <v>58</v>
      </c>
      <c r="D35" s="20">
        <f>+D32+D34</f>
        <v>26760022</v>
      </c>
      <c r="E35" s="20">
        <f>+E32+E34</f>
        <v>7092645</v>
      </c>
      <c r="F35" s="20">
        <f>+F32+F34</f>
        <v>33852667</v>
      </c>
      <c r="G35" s="20">
        <f>+G32+G34</f>
        <v>1472503.75</v>
      </c>
      <c r="H35" s="20">
        <f>+H32+H34</f>
        <v>35325170.75</v>
      </c>
      <c r="J35" s="20">
        <f>+J32+J34</f>
        <v>9390028.4499999881</v>
      </c>
      <c r="K35" s="20">
        <f>+K32+K34</f>
        <v>3747805</v>
      </c>
      <c r="L35" s="20">
        <f>+L32+L34</f>
        <v>13137833.449999988</v>
      </c>
      <c r="M35" s="20">
        <f>+M32+M34</f>
        <v>3041147.9757019999</v>
      </c>
      <c r="N35" s="20">
        <f>+N32+N34</f>
        <v>16178981.425701987</v>
      </c>
      <c r="P35" s="20">
        <f>+P32+P34</f>
        <v>5466629</v>
      </c>
      <c r="Q35" s="20">
        <f>+Q32+Q34</f>
        <v>2593676</v>
      </c>
      <c r="R35" s="20">
        <f>+R32+R34</f>
        <v>8060305</v>
      </c>
      <c r="S35" s="20">
        <f>+S32+S34</f>
        <v>1836936.4151480002</v>
      </c>
      <c r="T35" s="20">
        <f>+T32+T34</f>
        <v>9897241.4151480012</v>
      </c>
    </row>
    <row r="36" spans="1:21" x14ac:dyDescent="0.25">
      <c r="D36" s="110"/>
      <c r="E36" s="110"/>
      <c r="F36" s="110"/>
      <c r="G36" s="110"/>
      <c r="H36" s="110"/>
      <c r="J36" s="110"/>
      <c r="K36" s="110"/>
      <c r="L36" s="110"/>
      <c r="M36" s="110"/>
      <c r="N36" s="110"/>
      <c r="P36" s="110"/>
      <c r="Q36" s="110"/>
      <c r="R36" s="110"/>
      <c r="S36" s="110"/>
      <c r="T36" s="110"/>
    </row>
    <row r="37" spans="1:21" x14ac:dyDescent="0.25">
      <c r="A37" t="s">
        <v>142</v>
      </c>
      <c r="D37" s="19"/>
      <c r="E37" s="19"/>
      <c r="F37" s="19"/>
      <c r="G37" s="19"/>
      <c r="H37" s="19"/>
      <c r="J37" s="19"/>
      <c r="K37" s="19"/>
      <c r="L37" s="19"/>
      <c r="M37" s="19"/>
      <c r="N37" s="19"/>
      <c r="P37" s="19"/>
      <c r="Q37" s="19"/>
      <c r="R37" s="19"/>
      <c r="S37" s="19"/>
      <c r="T37" s="19"/>
    </row>
    <row r="38" spans="1:21" ht="28.9" customHeight="1" x14ac:dyDescent="0.25">
      <c r="A38" s="184" t="s">
        <v>341</v>
      </c>
      <c r="B38" s="184"/>
      <c r="C38" s="185"/>
      <c r="D38" s="19">
        <v>495802</v>
      </c>
      <c r="E38" s="19">
        <v>-15737</v>
      </c>
      <c r="F38" s="19">
        <f>+D38+E38</f>
        <v>480065</v>
      </c>
      <c r="G38" s="15"/>
      <c r="H38" s="19">
        <f>+F38+G38</f>
        <v>480065</v>
      </c>
      <c r="I38" s="10"/>
      <c r="J38" s="19">
        <v>70086</v>
      </c>
      <c r="K38" s="19">
        <v>-16606</v>
      </c>
      <c r="L38" s="19">
        <f>+J38+K38</f>
        <v>53480</v>
      </c>
      <c r="M38" s="15"/>
      <c r="N38" s="19">
        <f>+L38+M38</f>
        <v>53480</v>
      </c>
      <c r="O38" s="96"/>
      <c r="P38" s="19">
        <v>1849659</v>
      </c>
      <c r="Q38" s="19">
        <v>-26254</v>
      </c>
      <c r="R38" s="19">
        <f>+P38+Q38</f>
        <v>1823405</v>
      </c>
      <c r="S38" s="15"/>
      <c r="T38" s="19">
        <f>+R38+S38</f>
        <v>1823405</v>
      </c>
      <c r="U38" s="10"/>
    </row>
    <row r="39" spans="1:21" x14ac:dyDescent="0.25">
      <c r="A39" t="s">
        <v>58</v>
      </c>
      <c r="D39" s="31">
        <f t="shared" ref="D39:I39" si="8">+D35+D38</f>
        <v>27255824</v>
      </c>
      <c r="E39" s="20">
        <f t="shared" si="8"/>
        <v>7076908</v>
      </c>
      <c r="F39" s="20">
        <f t="shared" si="8"/>
        <v>34332732</v>
      </c>
      <c r="G39" s="20">
        <f t="shared" si="8"/>
        <v>1472503.75</v>
      </c>
      <c r="H39" s="20">
        <f t="shared" si="8"/>
        <v>35805235.75</v>
      </c>
      <c r="I39" s="19">
        <f t="shared" si="8"/>
        <v>0</v>
      </c>
      <c r="J39" s="31">
        <f t="shared" ref="J39" si="9">+J35+J38</f>
        <v>9460114.4499999881</v>
      </c>
      <c r="K39" s="20">
        <f>+K35+K38</f>
        <v>3731199</v>
      </c>
      <c r="L39" s="20">
        <f>+L35+L38</f>
        <v>13191313.449999988</v>
      </c>
      <c r="M39" s="20">
        <f>+M35+M38</f>
        <v>3041147.9757019999</v>
      </c>
      <c r="N39" s="20">
        <f>+N35+N38</f>
        <v>16232461.425701987</v>
      </c>
      <c r="P39" s="31">
        <f t="shared" ref="P39:U39" si="10">+P35+P38</f>
        <v>7316288</v>
      </c>
      <c r="Q39" s="20">
        <f t="shared" si="10"/>
        <v>2567422</v>
      </c>
      <c r="R39" s="20">
        <f t="shared" si="10"/>
        <v>9883710</v>
      </c>
      <c r="S39" s="20">
        <f t="shared" si="10"/>
        <v>1836936.4151480002</v>
      </c>
      <c r="T39" s="20">
        <f t="shared" si="10"/>
        <v>11720646.415148001</v>
      </c>
      <c r="U39" s="19">
        <f t="shared" si="10"/>
        <v>0</v>
      </c>
    </row>
    <row r="40" spans="1:21" x14ac:dyDescent="0.25">
      <c r="I40" s="10"/>
      <c r="J40" s="79"/>
      <c r="K40" s="109"/>
      <c r="U40" s="10"/>
    </row>
    <row r="41" spans="1:21" x14ac:dyDescent="0.25">
      <c r="I41" s="10"/>
      <c r="J41" s="80"/>
      <c r="K41" s="38"/>
      <c r="M41" s="165"/>
      <c r="N41" s="165"/>
      <c r="U41" s="10"/>
    </row>
    <row r="42" spans="1:21" x14ac:dyDescent="0.25">
      <c r="D42" s="10"/>
      <c r="E42" s="10"/>
      <c r="F42" s="10"/>
    </row>
    <row r="43" spans="1:21" x14ac:dyDescent="0.25">
      <c r="D43" s="61"/>
      <c r="E43" s="10"/>
      <c r="F43" s="10"/>
      <c r="J43" s="63" t="s">
        <v>254</v>
      </c>
      <c r="K43" s="7"/>
      <c r="L43" s="7"/>
      <c r="P43" s="63" t="s">
        <v>254</v>
      </c>
      <c r="Q43" s="7"/>
      <c r="R43" s="7"/>
    </row>
    <row r="44" spans="1:21" x14ac:dyDescent="0.25">
      <c r="D44" s="61"/>
      <c r="E44" s="10"/>
      <c r="F44" s="10"/>
      <c r="J44" s="4" t="s">
        <v>255</v>
      </c>
      <c r="P44" s="4" t="s">
        <v>255</v>
      </c>
    </row>
  </sheetData>
  <mergeCells count="1">
    <mergeCell ref="A38:C38"/>
  </mergeCells>
  <pageMargins left="0.7" right="0.7" top="0.75" bottom="0.75" header="0.3" footer="0.3"/>
  <pageSetup scale="88" orientation="portrait" r:id="rId1"/>
  <colBreaks count="1" manualBreakCount="1">
    <brk id="20" max="3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8"/>
  <sheetViews>
    <sheetView zoomScaleNormal="100" workbookViewId="0">
      <pane xSplit="4" ySplit="5" topLeftCell="E34" activePane="bottomRight" state="frozen"/>
      <selection pane="topRight" activeCell="E1" sqref="E1"/>
      <selection pane="bottomLeft" activeCell="A6" sqref="A6"/>
      <selection pane="bottomRight" activeCell="D37" sqref="D37"/>
    </sheetView>
  </sheetViews>
  <sheetFormatPr defaultColWidth="11.42578125" defaultRowHeight="15" x14ac:dyDescent="0.25"/>
  <cols>
    <col min="1" max="1" width="1.28515625" customWidth="1"/>
    <col min="2" max="2" width="1.5703125" customWidth="1"/>
    <col min="3" max="3" width="21.42578125" customWidth="1"/>
    <col min="4" max="4" width="30.7109375" customWidth="1"/>
    <col min="5" max="5" width="12.28515625" style="4" customWidth="1"/>
    <col min="6" max="6" width="14.140625" style="4" bestFit="1" customWidth="1"/>
    <col min="7" max="7" width="12.7109375" customWidth="1"/>
    <col min="8" max="8" width="12.140625" style="40" bestFit="1" customWidth="1"/>
    <col min="9" max="9" width="12.140625" bestFit="1" customWidth="1"/>
    <col min="10" max="10" width="3" customWidth="1"/>
    <col min="11" max="11" width="12.42578125" style="40" customWidth="1"/>
    <col min="12" max="12" width="14.140625" bestFit="1" customWidth="1"/>
    <col min="13" max="13" width="12.7109375" customWidth="1"/>
    <col min="14" max="14" width="12.5703125" customWidth="1"/>
    <col min="15" max="15" width="12.28515625" customWidth="1"/>
    <col min="16" max="16" width="2.5703125" customWidth="1"/>
    <col min="17" max="17" width="12.28515625" style="4" customWidth="1"/>
    <col min="18" max="18" width="14.140625" style="4" bestFit="1" customWidth="1"/>
    <col min="19" max="19" width="12.7109375" customWidth="1"/>
    <col min="20" max="20" width="12.140625" style="40" bestFit="1" customWidth="1"/>
    <col min="21" max="21" width="12.140625" bestFit="1" customWidth="1"/>
    <col min="22" max="22" width="3" customWidth="1"/>
  </cols>
  <sheetData>
    <row r="1" spans="1:21" x14ac:dyDescent="0.25">
      <c r="A1" s="2" t="s">
        <v>0</v>
      </c>
    </row>
    <row r="2" spans="1:21" x14ac:dyDescent="0.25">
      <c r="A2" s="1" t="s">
        <v>152</v>
      </c>
      <c r="L2" s="4"/>
    </row>
    <row r="3" spans="1:21" x14ac:dyDescent="0.25">
      <c r="A3" s="1" t="s">
        <v>304</v>
      </c>
      <c r="E3" s="23"/>
      <c r="F3" s="23"/>
      <c r="G3" s="14"/>
      <c r="H3" s="74"/>
      <c r="I3" s="14"/>
      <c r="K3" s="49"/>
      <c r="L3" s="23"/>
      <c r="M3" s="14"/>
      <c r="N3" s="74"/>
      <c r="O3" s="14"/>
      <c r="Q3" s="23"/>
      <c r="R3" s="23"/>
      <c r="S3" s="14"/>
      <c r="T3" s="74"/>
      <c r="U3" s="14"/>
    </row>
    <row r="4" spans="1:21" x14ac:dyDescent="0.25">
      <c r="A4" s="3" t="s">
        <v>18</v>
      </c>
      <c r="E4" s="19"/>
      <c r="F4" s="19"/>
      <c r="G4" s="15"/>
      <c r="H4" s="89" t="s">
        <v>51</v>
      </c>
      <c r="I4" s="16">
        <v>2019</v>
      </c>
      <c r="K4" s="39"/>
      <c r="L4" s="19"/>
      <c r="M4" s="15"/>
      <c r="N4" s="89" t="s">
        <v>51</v>
      </c>
      <c r="O4" s="16">
        <v>2018</v>
      </c>
      <c r="Q4" s="19"/>
      <c r="R4" s="19"/>
      <c r="S4" s="15"/>
      <c r="T4" s="89" t="s">
        <v>51</v>
      </c>
      <c r="U4" s="16">
        <v>2017</v>
      </c>
    </row>
    <row r="5" spans="1:21" x14ac:dyDescent="0.25">
      <c r="E5" s="25" t="s">
        <v>15</v>
      </c>
      <c r="F5" s="25" t="s">
        <v>16</v>
      </c>
      <c r="G5" s="17" t="s">
        <v>17</v>
      </c>
      <c r="H5" s="90" t="s">
        <v>149</v>
      </c>
      <c r="I5" s="17" t="s">
        <v>148</v>
      </c>
      <c r="K5" s="166" t="s">
        <v>15</v>
      </c>
      <c r="L5" s="25" t="s">
        <v>16</v>
      </c>
      <c r="M5" s="17" t="s">
        <v>17</v>
      </c>
      <c r="N5" s="90" t="s">
        <v>149</v>
      </c>
      <c r="O5" s="17" t="s">
        <v>148</v>
      </c>
      <c r="Q5" s="25" t="s">
        <v>15</v>
      </c>
      <c r="R5" s="25" t="s">
        <v>16</v>
      </c>
      <c r="S5" s="17" t="s">
        <v>17</v>
      </c>
      <c r="T5" s="90" t="s">
        <v>149</v>
      </c>
      <c r="U5" s="17" t="s">
        <v>148</v>
      </c>
    </row>
    <row r="6" spans="1:21" x14ac:dyDescent="0.25">
      <c r="E6" s="19"/>
      <c r="F6" s="19"/>
      <c r="G6" s="15"/>
      <c r="H6" s="47"/>
      <c r="I6" s="15"/>
      <c r="K6" s="39"/>
      <c r="L6" s="19"/>
      <c r="M6" s="15"/>
      <c r="N6" s="47"/>
      <c r="O6" s="15"/>
      <c r="Q6" s="19"/>
      <c r="R6" s="19"/>
      <c r="S6" s="15"/>
      <c r="T6" s="47"/>
      <c r="U6" s="15"/>
    </row>
    <row r="7" spans="1:21" x14ac:dyDescent="0.25">
      <c r="B7" s="34" t="s">
        <v>98</v>
      </c>
      <c r="C7" s="7"/>
      <c r="D7" s="8"/>
      <c r="E7" s="19"/>
      <c r="F7" s="19"/>
      <c r="G7" s="19"/>
      <c r="H7" s="39"/>
      <c r="I7" s="19"/>
      <c r="K7" s="39"/>
      <c r="L7" s="19"/>
      <c r="M7" s="19"/>
      <c r="N7" s="39"/>
      <c r="O7" s="19"/>
      <c r="P7" s="11"/>
      <c r="Q7" s="19"/>
      <c r="R7" s="19"/>
      <c r="S7" s="19"/>
      <c r="T7" s="39"/>
      <c r="U7" s="19"/>
    </row>
    <row r="8" spans="1:21" x14ac:dyDescent="0.25">
      <c r="B8" s="35" t="s">
        <v>99</v>
      </c>
      <c r="C8" s="10"/>
      <c r="D8" s="11"/>
      <c r="E8" s="19"/>
      <c r="F8" s="19"/>
      <c r="G8" s="19">
        <f>+E8+F8</f>
        <v>0</v>
      </c>
      <c r="H8" s="39">
        <f>+ER!G32</f>
        <v>1830774</v>
      </c>
      <c r="I8" s="19">
        <f>+G8+H8</f>
        <v>1830774</v>
      </c>
      <c r="K8" s="39">
        <f>ER!J32</f>
        <v>13627931.449999988</v>
      </c>
      <c r="L8" s="19">
        <v>5215409</v>
      </c>
      <c r="M8" s="19">
        <f>+K8+L8</f>
        <v>18843340.449999988</v>
      </c>
      <c r="N8" s="39">
        <f>+ER!M32</f>
        <v>3639537</v>
      </c>
      <c r="O8" s="19">
        <f>+M8+N8</f>
        <v>22482877.449999988</v>
      </c>
      <c r="P8" s="11"/>
      <c r="Q8" s="19">
        <f>10608696-1591304</f>
        <v>9017392</v>
      </c>
      <c r="R8" s="19">
        <v>3270021</v>
      </c>
      <c r="S8" s="19">
        <f>+Q8+R8</f>
        <v>12287413</v>
      </c>
      <c r="T8" s="39">
        <f>+ER!S32</f>
        <v>1245089</v>
      </c>
      <c r="U8" s="19">
        <f>+S8+T8</f>
        <v>13532502</v>
      </c>
    </row>
    <row r="9" spans="1:21" ht="28.15" customHeight="1" x14ac:dyDescent="0.25">
      <c r="B9" s="188" t="s">
        <v>157</v>
      </c>
      <c r="C9" s="189"/>
      <c r="D9" s="190"/>
      <c r="E9" s="19"/>
      <c r="F9" s="19"/>
      <c r="G9" s="19"/>
      <c r="H9" s="39"/>
      <c r="I9" s="19"/>
      <c r="K9" s="39"/>
      <c r="L9" s="19"/>
      <c r="M9" s="19"/>
      <c r="N9" s="39"/>
      <c r="O9" s="19"/>
      <c r="P9" s="98"/>
      <c r="Q9" s="19"/>
      <c r="R9" s="19"/>
      <c r="S9" s="19"/>
      <c r="T9" s="39"/>
      <c r="U9" s="19"/>
    </row>
    <row r="10" spans="1:21" x14ac:dyDescent="0.25">
      <c r="B10" s="9"/>
      <c r="C10" s="10" t="s">
        <v>325</v>
      </c>
      <c r="D10" s="11"/>
      <c r="E10" s="19"/>
      <c r="F10" s="19"/>
      <c r="G10" s="19">
        <f t="shared" ref="G10:G21" si="0">+E10+F10</f>
        <v>0</v>
      </c>
      <c r="H10" s="39"/>
      <c r="I10" s="19">
        <f t="shared" ref="I10:I21" si="1">+G10+H10</f>
        <v>0</v>
      </c>
      <c r="K10" s="39">
        <v>23826</v>
      </c>
      <c r="L10" s="19">
        <v>511226</v>
      </c>
      <c r="M10" s="19">
        <f t="shared" ref="M10:M22" si="2">+K10+L10</f>
        <v>535052</v>
      </c>
      <c r="N10" s="39"/>
      <c r="O10" s="19">
        <f t="shared" ref="O10:O22" si="3">+M10+N10</f>
        <v>535052</v>
      </c>
      <c r="P10" s="11"/>
      <c r="Q10" s="19">
        <v>200000</v>
      </c>
      <c r="R10" s="19">
        <v>281795</v>
      </c>
      <c r="S10" s="19">
        <f t="shared" ref="S10:S21" si="4">+Q10+R10</f>
        <v>481795</v>
      </c>
      <c r="T10" s="39"/>
      <c r="U10" s="19">
        <f t="shared" ref="U10:U21" si="5">+S10+T10</f>
        <v>481795</v>
      </c>
    </row>
    <row r="11" spans="1:21" x14ac:dyDescent="0.25">
      <c r="B11" s="9"/>
      <c r="C11" s="10" t="s">
        <v>183</v>
      </c>
      <c r="D11" s="11"/>
      <c r="E11" s="19"/>
      <c r="F11" s="19"/>
      <c r="G11" s="19">
        <f t="shared" si="0"/>
        <v>0</v>
      </c>
      <c r="H11" s="39"/>
      <c r="I11" s="19">
        <f t="shared" si="1"/>
        <v>0</v>
      </c>
      <c r="K11" s="39">
        <v>2607519</v>
      </c>
      <c r="L11" s="19"/>
      <c r="M11" s="19">
        <f t="shared" si="2"/>
        <v>2607519</v>
      </c>
      <c r="N11" s="39"/>
      <c r="O11" s="19">
        <f t="shared" si="3"/>
        <v>2607519</v>
      </c>
      <c r="P11" s="11"/>
      <c r="Q11" s="19">
        <v>2268000</v>
      </c>
      <c r="R11" s="19"/>
      <c r="S11" s="19">
        <f t="shared" si="4"/>
        <v>2268000</v>
      </c>
      <c r="T11" s="39"/>
      <c r="U11" s="19">
        <f t="shared" si="5"/>
        <v>2268000</v>
      </c>
    </row>
    <row r="12" spans="1:21" x14ac:dyDescent="0.25">
      <c r="B12" s="26"/>
      <c r="C12" s="41" t="s">
        <v>100</v>
      </c>
      <c r="D12" s="112"/>
      <c r="E12" s="39"/>
      <c r="F12" s="39"/>
      <c r="G12" s="19">
        <f t="shared" si="0"/>
        <v>0</v>
      </c>
      <c r="H12" s="39"/>
      <c r="I12" s="19">
        <f t="shared" si="1"/>
        <v>0</v>
      </c>
      <c r="K12" s="39">
        <v>19329207</v>
      </c>
      <c r="L12" s="39">
        <v>9817785</v>
      </c>
      <c r="M12" s="39">
        <f t="shared" si="2"/>
        <v>29146992</v>
      </c>
      <c r="N12" s="39">
        <f>-AD!J40</f>
        <v>-9726442</v>
      </c>
      <c r="O12" s="39">
        <f t="shared" si="3"/>
        <v>19420550</v>
      </c>
      <c r="P12" s="11"/>
      <c r="Q12" s="39">
        <v>17346688</v>
      </c>
      <c r="R12" s="39">
        <v>8496450</v>
      </c>
      <c r="S12" s="19">
        <f t="shared" si="4"/>
        <v>25843138</v>
      </c>
      <c r="T12" s="39">
        <f>-AD!L40</f>
        <v>-8402210</v>
      </c>
      <c r="U12" s="19">
        <f t="shared" si="5"/>
        <v>17440928</v>
      </c>
    </row>
    <row r="13" spans="1:21" x14ac:dyDescent="0.25">
      <c r="B13" s="9"/>
      <c r="C13" s="41" t="s">
        <v>184</v>
      </c>
      <c r="D13" s="11"/>
      <c r="E13" s="19"/>
      <c r="F13" s="19"/>
      <c r="G13" s="19">
        <f t="shared" si="0"/>
        <v>0</v>
      </c>
      <c r="H13" s="39"/>
      <c r="I13" s="19">
        <f t="shared" si="1"/>
        <v>0</v>
      </c>
      <c r="K13" s="39">
        <v>37744</v>
      </c>
      <c r="L13" s="19"/>
      <c r="M13" s="19">
        <f t="shared" si="2"/>
        <v>37744</v>
      </c>
      <c r="N13" s="39"/>
      <c r="O13" s="19">
        <f t="shared" si="3"/>
        <v>37744</v>
      </c>
      <c r="P13" s="11"/>
      <c r="Q13" s="19">
        <v>39210</v>
      </c>
      <c r="R13" s="19"/>
      <c r="S13" s="19">
        <f t="shared" si="4"/>
        <v>39210</v>
      </c>
      <c r="T13" s="39"/>
      <c r="U13" s="19">
        <f t="shared" si="5"/>
        <v>39210</v>
      </c>
    </row>
    <row r="14" spans="1:21" ht="27.6" customHeight="1" x14ac:dyDescent="0.25">
      <c r="B14" s="9"/>
      <c r="C14" s="186" t="s">
        <v>101</v>
      </c>
      <c r="D14" s="187"/>
      <c r="E14" s="19"/>
      <c r="F14" s="19"/>
      <c r="G14" s="19">
        <f t="shared" si="0"/>
        <v>0</v>
      </c>
      <c r="H14" s="39"/>
      <c r="I14" s="19">
        <f t="shared" si="1"/>
        <v>0</v>
      </c>
      <c r="K14" s="39">
        <v>0</v>
      </c>
      <c r="L14" s="19"/>
      <c r="M14" s="19">
        <f t="shared" si="2"/>
        <v>0</v>
      </c>
      <c r="N14" s="39"/>
      <c r="O14" s="19">
        <f t="shared" si="3"/>
        <v>0</v>
      </c>
      <c r="P14" s="97"/>
      <c r="Q14" s="19"/>
      <c r="R14" s="19"/>
      <c r="S14" s="19">
        <f t="shared" si="4"/>
        <v>0</v>
      </c>
      <c r="T14" s="39"/>
      <c r="U14" s="19">
        <f t="shared" si="5"/>
        <v>0</v>
      </c>
    </row>
    <row r="15" spans="1:21" x14ac:dyDescent="0.25">
      <c r="B15" s="9"/>
      <c r="C15" s="10" t="s">
        <v>132</v>
      </c>
      <c r="D15" s="11"/>
      <c r="E15" s="19"/>
      <c r="F15" s="19"/>
      <c r="G15" s="19">
        <f t="shared" si="0"/>
        <v>0</v>
      </c>
      <c r="H15" s="39"/>
      <c r="I15" s="19">
        <f t="shared" si="1"/>
        <v>0</v>
      </c>
      <c r="K15" s="39">
        <v>0</v>
      </c>
      <c r="L15" s="19"/>
      <c r="M15" s="19">
        <f t="shared" si="2"/>
        <v>0</v>
      </c>
      <c r="N15" s="39"/>
      <c r="O15" s="19">
        <f t="shared" si="3"/>
        <v>0</v>
      </c>
      <c r="P15" s="11"/>
      <c r="Q15" s="19">
        <v>0</v>
      </c>
      <c r="R15" s="19"/>
      <c r="S15" s="19">
        <f t="shared" si="4"/>
        <v>0</v>
      </c>
      <c r="T15" s="39"/>
      <c r="U15" s="19">
        <f t="shared" si="5"/>
        <v>0</v>
      </c>
    </row>
    <row r="16" spans="1:21" x14ac:dyDescent="0.25">
      <c r="B16" s="9"/>
      <c r="C16" s="10" t="s">
        <v>102</v>
      </c>
      <c r="D16" s="11"/>
      <c r="E16" s="19"/>
      <c r="F16" s="19"/>
      <c r="G16" s="19">
        <f t="shared" si="0"/>
        <v>0</v>
      </c>
      <c r="H16" s="39"/>
      <c r="I16" s="19">
        <f t="shared" si="1"/>
        <v>0</v>
      </c>
      <c r="K16" s="39">
        <v>2230401</v>
      </c>
      <c r="L16" s="19">
        <v>25583</v>
      </c>
      <c r="M16" s="19">
        <f t="shared" si="2"/>
        <v>2255984</v>
      </c>
      <c r="N16" s="39"/>
      <c r="O16" s="19">
        <f t="shared" si="3"/>
        <v>2255984</v>
      </c>
      <c r="P16" s="11"/>
      <c r="Q16" s="19">
        <v>2028637</v>
      </c>
      <c r="R16" s="19">
        <v>26371</v>
      </c>
      <c r="S16" s="19">
        <f t="shared" si="4"/>
        <v>2055008</v>
      </c>
      <c r="T16" s="39"/>
      <c r="U16" s="19">
        <f t="shared" si="5"/>
        <v>2055008</v>
      </c>
    </row>
    <row r="17" spans="2:21" x14ac:dyDescent="0.25">
      <c r="B17" s="9"/>
      <c r="C17" s="41" t="s">
        <v>185</v>
      </c>
      <c r="D17" s="11"/>
      <c r="E17" s="19"/>
      <c r="F17" s="19"/>
      <c r="G17" s="19">
        <f t="shared" si="0"/>
        <v>0</v>
      </c>
      <c r="H17" s="39"/>
      <c r="I17" s="19">
        <f t="shared" si="1"/>
        <v>0</v>
      </c>
      <c r="K17" s="39">
        <v>366832</v>
      </c>
      <c r="L17" s="19"/>
      <c r="M17" s="19">
        <f t="shared" si="2"/>
        <v>366832</v>
      </c>
      <c r="N17" s="39"/>
      <c r="O17" s="19">
        <f t="shared" si="3"/>
        <v>366832</v>
      </c>
      <c r="P17" s="11"/>
      <c r="Q17" s="19">
        <v>0</v>
      </c>
      <c r="R17" s="19"/>
      <c r="S17" s="19">
        <f t="shared" si="4"/>
        <v>0</v>
      </c>
      <c r="T17" s="39"/>
      <c r="U17" s="19">
        <f t="shared" si="5"/>
        <v>0</v>
      </c>
    </row>
    <row r="18" spans="2:21" x14ac:dyDescent="0.25">
      <c r="B18" s="9"/>
      <c r="C18" s="10" t="s">
        <v>103</v>
      </c>
      <c r="D18" s="11"/>
      <c r="E18" s="19"/>
      <c r="F18" s="19"/>
      <c r="G18" s="19">
        <f t="shared" si="0"/>
        <v>0</v>
      </c>
      <c r="H18" s="39"/>
      <c r="I18" s="19">
        <f t="shared" si="1"/>
        <v>0</v>
      </c>
      <c r="K18" s="39">
        <v>2404929</v>
      </c>
      <c r="L18" s="19"/>
      <c r="M18" s="19">
        <f t="shared" si="2"/>
        <v>2404929</v>
      </c>
      <c r="N18" s="39"/>
      <c r="O18" s="19">
        <f t="shared" si="3"/>
        <v>2404929</v>
      </c>
      <c r="P18" s="11"/>
      <c r="Q18" s="19">
        <v>3074772</v>
      </c>
      <c r="R18" s="19"/>
      <c r="S18" s="19">
        <f t="shared" si="4"/>
        <v>3074772</v>
      </c>
      <c r="T18" s="39"/>
      <c r="U18" s="19">
        <f t="shared" si="5"/>
        <v>3074772</v>
      </c>
    </row>
    <row r="19" spans="2:21" x14ac:dyDescent="0.25">
      <c r="B19" s="9"/>
      <c r="C19" s="10" t="s">
        <v>104</v>
      </c>
      <c r="D19" s="11"/>
      <c r="E19" s="19"/>
      <c r="F19" s="19"/>
      <c r="G19" s="19">
        <f t="shared" si="0"/>
        <v>0</v>
      </c>
      <c r="H19" s="39"/>
      <c r="I19" s="19">
        <f t="shared" si="1"/>
        <v>0</v>
      </c>
      <c r="K19" s="39">
        <v>1293142</v>
      </c>
      <c r="L19" s="19">
        <v>251418</v>
      </c>
      <c r="M19" s="19">
        <f t="shared" si="2"/>
        <v>1544560</v>
      </c>
      <c r="N19" s="39"/>
      <c r="O19" s="19">
        <f t="shared" si="3"/>
        <v>1544560</v>
      </c>
      <c r="P19" s="11"/>
      <c r="Q19" s="19">
        <v>1591304</v>
      </c>
      <c r="R19" s="19"/>
      <c r="S19" s="19">
        <f t="shared" si="4"/>
        <v>1591304</v>
      </c>
      <c r="T19" s="39"/>
      <c r="U19" s="19">
        <f t="shared" si="5"/>
        <v>1591304</v>
      </c>
    </row>
    <row r="20" spans="2:21" x14ac:dyDescent="0.25">
      <c r="B20" s="9"/>
      <c r="C20" s="10" t="s">
        <v>318</v>
      </c>
      <c r="D20" s="11"/>
      <c r="E20" s="19"/>
      <c r="F20" s="19"/>
      <c r="G20" s="19">
        <f t="shared" si="0"/>
        <v>0</v>
      </c>
      <c r="H20" s="39"/>
      <c r="I20" s="19">
        <f t="shared" si="1"/>
        <v>0</v>
      </c>
      <c r="K20" s="39">
        <v>7559526</v>
      </c>
      <c r="L20" s="19"/>
      <c r="M20" s="19">
        <f t="shared" si="2"/>
        <v>7559526</v>
      </c>
      <c r="N20" s="39"/>
      <c r="O20" s="19">
        <f t="shared" si="3"/>
        <v>7559526</v>
      </c>
      <c r="P20" s="11"/>
      <c r="Q20" s="19">
        <f>1308073+234029</f>
        <v>1542102</v>
      </c>
      <c r="R20" s="19">
        <v>175726</v>
      </c>
      <c r="S20" s="19">
        <f t="shared" si="4"/>
        <v>1717828</v>
      </c>
      <c r="T20" s="39"/>
      <c r="U20" s="19">
        <f t="shared" si="5"/>
        <v>1717828</v>
      </c>
    </row>
    <row r="21" spans="2:21" x14ac:dyDescent="0.25">
      <c r="B21" s="9"/>
      <c r="C21" s="10" t="s">
        <v>264</v>
      </c>
      <c r="D21" s="11"/>
      <c r="E21" s="19"/>
      <c r="F21" s="19"/>
      <c r="G21" s="19">
        <f t="shared" si="0"/>
        <v>0</v>
      </c>
      <c r="H21" s="39"/>
      <c r="I21" s="19">
        <f t="shared" si="1"/>
        <v>0</v>
      </c>
      <c r="K21" s="39">
        <v>251108</v>
      </c>
      <c r="L21" s="19"/>
      <c r="M21" s="19">
        <f t="shared" si="2"/>
        <v>251108</v>
      </c>
      <c r="N21" s="39"/>
      <c r="O21" s="19">
        <f t="shared" si="3"/>
        <v>251108</v>
      </c>
      <c r="P21" s="11"/>
      <c r="Q21" s="19"/>
      <c r="R21" s="19"/>
      <c r="S21" s="19">
        <f t="shared" si="4"/>
        <v>0</v>
      </c>
      <c r="T21" s="39"/>
      <c r="U21" s="19">
        <f t="shared" si="5"/>
        <v>0</v>
      </c>
    </row>
    <row r="22" spans="2:21" x14ac:dyDescent="0.25">
      <c r="B22" s="9"/>
      <c r="C22" s="10" t="s">
        <v>236</v>
      </c>
      <c r="D22" s="11"/>
      <c r="E22" s="19"/>
      <c r="F22" s="19"/>
      <c r="G22" s="19"/>
      <c r="H22" s="39"/>
      <c r="I22" s="19"/>
      <c r="K22" s="39">
        <v>-261500</v>
      </c>
      <c r="L22" s="19"/>
      <c r="M22" s="19">
        <f t="shared" si="2"/>
        <v>-261500</v>
      </c>
      <c r="N22" s="39">
        <f>-ER!M34</f>
        <v>598389.02429799992</v>
      </c>
      <c r="O22" s="19">
        <f t="shared" si="3"/>
        <v>336889.02429799992</v>
      </c>
      <c r="P22" s="11"/>
      <c r="Q22" s="19">
        <v>476468</v>
      </c>
      <c r="R22" s="19"/>
      <c r="S22" s="19"/>
      <c r="T22" s="39"/>
      <c r="U22" s="19"/>
    </row>
    <row r="23" spans="2:21" x14ac:dyDescent="0.25">
      <c r="B23" s="9"/>
      <c r="C23" s="10"/>
      <c r="D23" s="11"/>
      <c r="E23" s="23">
        <f>SUM(E8:E22)</f>
        <v>0</v>
      </c>
      <c r="F23" s="173">
        <f>SUM(F8:F21)</f>
        <v>0</v>
      </c>
      <c r="G23" s="23">
        <f>SUM(G8:G21)</f>
        <v>0</v>
      </c>
      <c r="H23" s="49">
        <f>SUM(H8:H21)</f>
        <v>1830774</v>
      </c>
      <c r="I23" s="23">
        <f>SUM(I8:I21)</f>
        <v>1830774</v>
      </c>
      <c r="K23" s="49">
        <f>SUM(K8:K22)</f>
        <v>49470665.449999988</v>
      </c>
      <c r="L23" s="49">
        <f t="shared" ref="L23:O23" si="6">SUM(L8:L22)</f>
        <v>15821421</v>
      </c>
      <c r="M23" s="49">
        <f t="shared" si="6"/>
        <v>65292086.449999988</v>
      </c>
      <c r="N23" s="49">
        <f t="shared" si="6"/>
        <v>-5488515.9757019999</v>
      </c>
      <c r="O23" s="49">
        <f t="shared" si="6"/>
        <v>59803570.474297985</v>
      </c>
      <c r="P23" s="11"/>
      <c r="Q23" s="23">
        <f>SUM(Q8:Q22)</f>
        <v>37584573</v>
      </c>
      <c r="R23" s="173">
        <f>SUM(R8:R21)</f>
        <v>12250363</v>
      </c>
      <c r="S23" s="23">
        <f>SUM(S8:S21)</f>
        <v>49358468</v>
      </c>
      <c r="T23" s="49">
        <f>SUM(T8:T21)</f>
        <v>-7157121</v>
      </c>
      <c r="U23" s="23">
        <f>SUM(U8:U21)</f>
        <v>42201347</v>
      </c>
    </row>
    <row r="24" spans="2:21" x14ac:dyDescent="0.25">
      <c r="B24" s="35" t="s">
        <v>105</v>
      </c>
      <c r="C24" s="10"/>
      <c r="D24" s="11"/>
      <c r="E24" s="19"/>
      <c r="F24" s="19"/>
      <c r="G24" s="19"/>
      <c r="H24" s="39"/>
      <c r="I24" s="19"/>
      <c r="K24" s="39"/>
      <c r="L24" s="19"/>
      <c r="M24" s="19"/>
      <c r="N24" s="39"/>
      <c r="O24" s="19"/>
      <c r="P24" s="11"/>
      <c r="Q24" s="19"/>
      <c r="R24" s="19"/>
      <c r="S24" s="19"/>
      <c r="T24" s="39"/>
      <c r="U24" s="19"/>
    </row>
    <row r="25" spans="2:21" x14ac:dyDescent="0.25">
      <c r="B25" s="9"/>
      <c r="C25" s="10" t="s">
        <v>106</v>
      </c>
      <c r="D25" s="11"/>
      <c r="E25" s="19"/>
      <c r="F25" s="19"/>
      <c r="G25" s="19">
        <f t="shared" ref="G25:G41" si="7">+E25+F25</f>
        <v>0</v>
      </c>
      <c r="H25" s="39"/>
      <c r="I25" s="19">
        <f t="shared" ref="I25:I41" si="8">+G25+H25</f>
        <v>0</v>
      </c>
      <c r="K25" s="39">
        <v>3944169</v>
      </c>
      <c r="L25" s="39">
        <v>-602469</v>
      </c>
      <c r="M25" s="19">
        <f t="shared" ref="M25:M45" si="9">+K25+L25</f>
        <v>3341700</v>
      </c>
      <c r="N25" s="39"/>
      <c r="O25" s="19">
        <f t="shared" ref="O25:O41" si="10">+M25+N25</f>
        <v>3341700</v>
      </c>
      <c r="P25" s="11"/>
      <c r="Q25" s="19">
        <v>2173914</v>
      </c>
      <c r="R25" s="19">
        <v>153450</v>
      </c>
      <c r="S25" s="19">
        <f t="shared" ref="S25:S41" si="11">+Q25+R25</f>
        <v>2327364</v>
      </c>
      <c r="T25" s="39"/>
      <c r="U25" s="19">
        <f t="shared" ref="U25:U41" si="12">+S25+T25</f>
        <v>2327364</v>
      </c>
    </row>
    <row r="26" spans="2:21" x14ac:dyDescent="0.25">
      <c r="B26" s="9"/>
      <c r="C26" s="10" t="s">
        <v>107</v>
      </c>
      <c r="D26" s="11"/>
      <c r="E26" s="19"/>
      <c r="F26" s="19"/>
      <c r="G26" s="19">
        <f t="shared" si="7"/>
        <v>0</v>
      </c>
      <c r="H26" s="39"/>
      <c r="I26" s="19">
        <f t="shared" si="8"/>
        <v>0</v>
      </c>
      <c r="K26" s="39">
        <v>-10765719</v>
      </c>
      <c r="L26" s="39">
        <v>-5894109</v>
      </c>
      <c r="M26" s="19">
        <f t="shared" si="9"/>
        <v>-16659828</v>
      </c>
      <c r="N26" s="39"/>
      <c r="O26" s="19">
        <f t="shared" si="10"/>
        <v>-16659828</v>
      </c>
      <c r="P26" s="11"/>
      <c r="Q26" s="19">
        <v>-16324141</v>
      </c>
      <c r="R26" s="19"/>
      <c r="S26" s="19">
        <f t="shared" si="11"/>
        <v>-16324141</v>
      </c>
      <c r="T26" s="39"/>
      <c r="U26" s="19">
        <f t="shared" si="12"/>
        <v>-16324141</v>
      </c>
    </row>
    <row r="27" spans="2:21" x14ac:dyDescent="0.25">
      <c r="B27" s="9"/>
      <c r="C27" s="10" t="s">
        <v>20</v>
      </c>
      <c r="D27" s="11"/>
      <c r="E27" s="19"/>
      <c r="F27" s="19"/>
      <c r="G27" s="19">
        <f t="shared" si="7"/>
        <v>0</v>
      </c>
      <c r="H27" s="39"/>
      <c r="I27" s="19">
        <f t="shared" si="8"/>
        <v>0</v>
      </c>
      <c r="K27" s="39">
        <v>-233583</v>
      </c>
      <c r="L27" s="39">
        <f>-8535012-L26-L25</f>
        <v>-2038434</v>
      </c>
      <c r="M27" s="19">
        <f t="shared" si="9"/>
        <v>-2272017</v>
      </c>
      <c r="N27" s="39"/>
      <c r="O27" s="19">
        <f t="shared" si="10"/>
        <v>-2272017</v>
      </c>
      <c r="P27" s="11"/>
      <c r="Q27" s="19">
        <v>-6350190</v>
      </c>
      <c r="R27" s="19"/>
      <c r="S27" s="19">
        <f t="shared" si="11"/>
        <v>-6350190</v>
      </c>
      <c r="T27" s="39"/>
      <c r="U27" s="19">
        <f t="shared" si="12"/>
        <v>-6350190</v>
      </c>
    </row>
    <row r="28" spans="2:21" x14ac:dyDescent="0.25">
      <c r="B28" s="9"/>
      <c r="C28" s="10" t="s">
        <v>10</v>
      </c>
      <c r="D28" s="11"/>
      <c r="E28" s="19"/>
      <c r="F28" s="19"/>
      <c r="G28" s="19">
        <f t="shared" si="7"/>
        <v>0</v>
      </c>
      <c r="H28" s="39"/>
      <c r="I28" s="19">
        <f t="shared" si="8"/>
        <v>0</v>
      </c>
      <c r="K28" s="39">
        <v>475548</v>
      </c>
      <c r="L28" s="19"/>
      <c r="M28" s="19">
        <f t="shared" si="9"/>
        <v>475548</v>
      </c>
      <c r="N28" s="39"/>
      <c r="O28" s="19">
        <f t="shared" si="10"/>
        <v>475548</v>
      </c>
      <c r="P28" s="11"/>
      <c r="Q28" s="19">
        <v>546462</v>
      </c>
      <c r="R28" s="19"/>
      <c r="S28" s="19">
        <f t="shared" si="11"/>
        <v>546462</v>
      </c>
      <c r="T28" s="39"/>
      <c r="U28" s="19">
        <f t="shared" si="12"/>
        <v>546462</v>
      </c>
    </row>
    <row r="29" spans="2:21" x14ac:dyDescent="0.25">
      <c r="B29" s="9"/>
      <c r="C29" s="10" t="s">
        <v>11</v>
      </c>
      <c r="D29" s="11"/>
      <c r="E29" s="19"/>
      <c r="F29" s="19"/>
      <c r="G29" s="19">
        <f t="shared" si="7"/>
        <v>0</v>
      </c>
      <c r="H29" s="39"/>
      <c r="I29" s="19">
        <f t="shared" si="8"/>
        <v>0</v>
      </c>
      <c r="K29" s="39">
        <v>124930</v>
      </c>
      <c r="L29" s="19"/>
      <c r="M29" s="19">
        <f t="shared" si="9"/>
        <v>124930</v>
      </c>
      <c r="N29" s="39"/>
      <c r="O29" s="19">
        <f t="shared" si="10"/>
        <v>124930</v>
      </c>
      <c r="P29" s="11"/>
      <c r="Q29" s="19">
        <v>1692356</v>
      </c>
      <c r="R29" s="19"/>
      <c r="S29" s="19">
        <f t="shared" si="11"/>
        <v>1692356</v>
      </c>
      <c r="T29" s="39"/>
      <c r="U29" s="19">
        <f t="shared" si="12"/>
        <v>1692356</v>
      </c>
    </row>
    <row r="30" spans="2:21" x14ac:dyDescent="0.25">
      <c r="B30" s="9"/>
      <c r="C30" s="10" t="s">
        <v>12</v>
      </c>
      <c r="D30" s="11"/>
      <c r="E30" s="19"/>
      <c r="F30" s="19"/>
      <c r="G30" s="19">
        <f t="shared" si="7"/>
        <v>0</v>
      </c>
      <c r="H30" s="39"/>
      <c r="I30" s="19">
        <f t="shared" si="8"/>
        <v>0</v>
      </c>
      <c r="K30" s="39">
        <v>-9031384</v>
      </c>
      <c r="L30" s="19"/>
      <c r="M30" s="19">
        <f t="shared" si="9"/>
        <v>-9031384</v>
      </c>
      <c r="N30" s="39"/>
      <c r="O30" s="19">
        <f t="shared" si="10"/>
        <v>-9031384</v>
      </c>
      <c r="P30" s="11"/>
      <c r="Q30" s="19">
        <v>3855566</v>
      </c>
      <c r="R30" s="19">
        <v>16620</v>
      </c>
      <c r="S30" s="19">
        <f t="shared" si="11"/>
        <v>3872186</v>
      </c>
      <c r="T30" s="39"/>
      <c r="U30" s="19">
        <f t="shared" si="12"/>
        <v>3872186</v>
      </c>
    </row>
    <row r="31" spans="2:21" x14ac:dyDescent="0.25">
      <c r="B31" s="9"/>
      <c r="C31" s="10" t="s">
        <v>13</v>
      </c>
      <c r="D31" s="11"/>
      <c r="E31" s="19"/>
      <c r="F31" s="19"/>
      <c r="G31" s="19">
        <f t="shared" si="7"/>
        <v>0</v>
      </c>
      <c r="H31" s="39"/>
      <c r="I31" s="19">
        <f t="shared" si="8"/>
        <v>0</v>
      </c>
      <c r="K31" s="39"/>
      <c r="L31" s="19"/>
      <c r="M31" s="19">
        <f t="shared" si="9"/>
        <v>0</v>
      </c>
      <c r="N31" s="39"/>
      <c r="O31" s="19">
        <f t="shared" si="10"/>
        <v>0</v>
      </c>
      <c r="P31" s="11"/>
      <c r="Q31" s="19">
        <v>0</v>
      </c>
      <c r="R31" s="19"/>
      <c r="S31" s="19">
        <f t="shared" si="11"/>
        <v>0</v>
      </c>
      <c r="T31" s="39"/>
      <c r="U31" s="19">
        <f t="shared" si="12"/>
        <v>0</v>
      </c>
    </row>
    <row r="32" spans="2:21" x14ac:dyDescent="0.25">
      <c r="B32" s="9"/>
      <c r="C32" s="10" t="s">
        <v>50</v>
      </c>
      <c r="D32" s="11"/>
      <c r="E32" s="19"/>
      <c r="F32" s="19"/>
      <c r="G32" s="19">
        <f t="shared" si="7"/>
        <v>0</v>
      </c>
      <c r="H32" s="39"/>
      <c r="I32" s="19">
        <f t="shared" si="8"/>
        <v>0</v>
      </c>
      <c r="K32" s="39"/>
      <c r="L32" s="19">
        <v>-86645</v>
      </c>
      <c r="M32" s="19">
        <f t="shared" si="9"/>
        <v>-86645</v>
      </c>
      <c r="N32" s="39"/>
      <c r="O32" s="19">
        <f t="shared" si="10"/>
        <v>-86645</v>
      </c>
      <c r="P32" s="11"/>
      <c r="Q32" s="19">
        <v>-1495</v>
      </c>
      <c r="R32" s="19">
        <v>-97195</v>
      </c>
      <c r="S32" s="19">
        <f t="shared" si="11"/>
        <v>-98690</v>
      </c>
      <c r="T32" s="39"/>
      <c r="U32" s="19">
        <f t="shared" si="12"/>
        <v>-98690</v>
      </c>
    </row>
    <row r="33" spans="2:21" x14ac:dyDescent="0.25">
      <c r="B33" s="9"/>
      <c r="C33" s="10" t="s">
        <v>108</v>
      </c>
      <c r="D33" s="11"/>
      <c r="E33" s="19"/>
      <c r="F33" s="19"/>
      <c r="G33" s="19">
        <f t="shared" si="7"/>
        <v>0</v>
      </c>
      <c r="H33" s="39"/>
      <c r="I33" s="19">
        <f t="shared" si="8"/>
        <v>0</v>
      </c>
      <c r="K33" s="39">
        <v>-2518955</v>
      </c>
      <c r="L33" s="19">
        <v>94649</v>
      </c>
      <c r="M33" s="19">
        <f t="shared" si="9"/>
        <v>-2424306</v>
      </c>
      <c r="N33" s="39"/>
      <c r="O33" s="19">
        <f t="shared" si="10"/>
        <v>-2424306</v>
      </c>
      <c r="P33" s="11"/>
      <c r="Q33" s="19">
        <v>-3759434</v>
      </c>
      <c r="R33" s="19">
        <v>-751038</v>
      </c>
      <c r="S33" s="19">
        <f t="shared" si="11"/>
        <v>-4510472</v>
      </c>
      <c r="T33" s="39"/>
      <c r="U33" s="19">
        <f t="shared" si="12"/>
        <v>-4510472</v>
      </c>
    </row>
    <row r="34" spans="2:21" x14ac:dyDescent="0.25">
      <c r="B34" s="9"/>
      <c r="C34" s="10" t="s">
        <v>109</v>
      </c>
      <c r="D34" s="11"/>
      <c r="E34" s="19"/>
      <c r="F34" s="19"/>
      <c r="G34" s="19">
        <f t="shared" si="7"/>
        <v>0</v>
      </c>
      <c r="H34" s="39"/>
      <c r="I34" s="19">
        <f t="shared" si="8"/>
        <v>0</v>
      </c>
      <c r="K34" s="39">
        <v>618571</v>
      </c>
      <c r="L34" s="39">
        <v>5583218</v>
      </c>
      <c r="M34" s="19">
        <f t="shared" si="9"/>
        <v>6201789</v>
      </c>
      <c r="N34" s="39"/>
      <c r="O34" s="19">
        <f t="shared" si="10"/>
        <v>6201789</v>
      </c>
      <c r="P34" s="11"/>
      <c r="Q34" s="19">
        <v>1235126</v>
      </c>
      <c r="R34" s="19"/>
      <c r="S34" s="19">
        <f t="shared" si="11"/>
        <v>1235126</v>
      </c>
      <c r="T34" s="39"/>
      <c r="U34" s="19">
        <f t="shared" si="12"/>
        <v>1235126</v>
      </c>
    </row>
    <row r="35" spans="2:21" x14ac:dyDescent="0.25">
      <c r="B35" s="9"/>
      <c r="C35" s="10" t="s">
        <v>110</v>
      </c>
      <c r="D35" s="11"/>
      <c r="E35" s="19"/>
      <c r="F35" s="19"/>
      <c r="G35" s="19">
        <f t="shared" si="7"/>
        <v>0</v>
      </c>
      <c r="H35" s="39"/>
      <c r="I35" s="19">
        <f t="shared" si="8"/>
        <v>0</v>
      </c>
      <c r="K35" s="39">
        <v>2484728</v>
      </c>
      <c r="L35" s="39">
        <v>-1023114</v>
      </c>
      <c r="M35" s="19">
        <f t="shared" si="9"/>
        <v>1461614</v>
      </c>
      <c r="N35" s="39"/>
      <c r="O35" s="19">
        <f t="shared" si="10"/>
        <v>1461614</v>
      </c>
      <c r="P35" s="11"/>
      <c r="Q35" s="19">
        <v>64755</v>
      </c>
      <c r="R35" s="19">
        <v>-273465</v>
      </c>
      <c r="S35" s="19">
        <f t="shared" si="11"/>
        <v>-208710</v>
      </c>
      <c r="T35" s="39"/>
      <c r="U35" s="19">
        <f t="shared" si="12"/>
        <v>-208710</v>
      </c>
    </row>
    <row r="36" spans="2:21" x14ac:dyDescent="0.25">
      <c r="B36" s="9"/>
      <c r="C36" s="10" t="s">
        <v>111</v>
      </c>
      <c r="D36" s="11"/>
      <c r="E36" s="19"/>
      <c r="F36" s="19"/>
      <c r="G36" s="19">
        <f t="shared" si="7"/>
        <v>0</v>
      </c>
      <c r="H36" s="39"/>
      <c r="I36" s="19">
        <f t="shared" si="8"/>
        <v>0</v>
      </c>
      <c r="K36" s="39">
        <v>-4641544</v>
      </c>
      <c r="L36" s="39">
        <f>5964089-L34-L33</f>
        <v>286222</v>
      </c>
      <c r="M36" s="19">
        <f t="shared" si="9"/>
        <v>-4355322</v>
      </c>
      <c r="N36" s="39">
        <v>-295764</v>
      </c>
      <c r="O36" s="19">
        <f t="shared" si="10"/>
        <v>-4651086</v>
      </c>
      <c r="P36" s="11"/>
      <c r="Q36" s="19">
        <v>4568360</v>
      </c>
      <c r="R36" s="19"/>
      <c r="S36" s="19">
        <f t="shared" si="11"/>
        <v>4568360</v>
      </c>
      <c r="T36" s="39"/>
      <c r="U36" s="19">
        <f t="shared" si="12"/>
        <v>4568360</v>
      </c>
    </row>
    <row r="37" spans="2:21" x14ac:dyDescent="0.25">
      <c r="B37" s="9"/>
      <c r="C37" s="10" t="s">
        <v>35</v>
      </c>
      <c r="D37" s="11"/>
      <c r="E37" s="19"/>
      <c r="F37" s="19"/>
      <c r="G37" s="19">
        <f t="shared" si="7"/>
        <v>0</v>
      </c>
      <c r="H37" s="39"/>
      <c r="I37" s="19">
        <f t="shared" si="8"/>
        <v>0</v>
      </c>
      <c r="K37" s="39">
        <v>-81914</v>
      </c>
      <c r="L37" s="39"/>
      <c r="M37" s="19">
        <f t="shared" si="9"/>
        <v>-81914</v>
      </c>
      <c r="N37" s="39"/>
      <c r="O37" s="19">
        <f t="shared" si="10"/>
        <v>-81914</v>
      </c>
      <c r="P37" s="11"/>
      <c r="Q37" s="19">
        <v>-2404770</v>
      </c>
      <c r="R37" s="19"/>
      <c r="S37" s="19">
        <f t="shared" si="11"/>
        <v>-2404770</v>
      </c>
      <c r="T37" s="39"/>
      <c r="U37" s="19">
        <f t="shared" si="12"/>
        <v>-2404770</v>
      </c>
    </row>
    <row r="38" spans="2:21" x14ac:dyDescent="0.25">
      <c r="B38" s="9"/>
      <c r="C38" s="10" t="s">
        <v>36</v>
      </c>
      <c r="D38" s="11"/>
      <c r="E38" s="19"/>
      <c r="F38" s="19"/>
      <c r="G38" s="19">
        <f t="shared" si="7"/>
        <v>0</v>
      </c>
      <c r="H38" s="39"/>
      <c r="I38" s="19">
        <f t="shared" si="8"/>
        <v>0</v>
      </c>
      <c r="K38" s="39">
        <v>577820</v>
      </c>
      <c r="L38" s="19">
        <v>417024</v>
      </c>
      <c r="M38" s="19">
        <f t="shared" si="9"/>
        <v>994844</v>
      </c>
      <c r="N38" s="39"/>
      <c r="O38" s="19">
        <f t="shared" si="10"/>
        <v>994844</v>
      </c>
      <c r="P38" s="11"/>
      <c r="Q38" s="19">
        <v>344260</v>
      </c>
      <c r="R38" s="19">
        <v>-620687</v>
      </c>
      <c r="S38" s="19">
        <f t="shared" si="11"/>
        <v>-276427</v>
      </c>
      <c r="T38" s="39"/>
      <c r="U38" s="19">
        <f t="shared" si="12"/>
        <v>-276427</v>
      </c>
    </row>
    <row r="39" spans="2:21" hidden="1" x14ac:dyDescent="0.25">
      <c r="B39" s="9"/>
      <c r="C39" s="10" t="s">
        <v>133</v>
      </c>
      <c r="D39" s="11"/>
      <c r="E39" s="19"/>
      <c r="F39" s="19"/>
      <c r="G39" s="19">
        <f t="shared" si="7"/>
        <v>0</v>
      </c>
      <c r="H39" s="39"/>
      <c r="I39" s="19">
        <f t="shared" si="8"/>
        <v>0</v>
      </c>
      <c r="K39" s="39"/>
      <c r="L39" s="19"/>
      <c r="M39" s="19">
        <f t="shared" si="9"/>
        <v>0</v>
      </c>
      <c r="N39" s="39"/>
      <c r="O39" s="19">
        <f t="shared" si="10"/>
        <v>0</v>
      </c>
      <c r="P39" s="11"/>
      <c r="Q39" s="19"/>
      <c r="R39" s="19"/>
      <c r="S39" s="19">
        <f t="shared" si="11"/>
        <v>0</v>
      </c>
      <c r="T39" s="39"/>
      <c r="U39" s="19">
        <f t="shared" si="12"/>
        <v>0</v>
      </c>
    </row>
    <row r="40" spans="2:21" hidden="1" x14ac:dyDescent="0.25">
      <c r="B40" s="9"/>
      <c r="C40" s="10" t="s">
        <v>37</v>
      </c>
      <c r="D40" s="11"/>
      <c r="E40" s="19"/>
      <c r="F40" s="19"/>
      <c r="G40" s="19">
        <f t="shared" si="7"/>
        <v>0</v>
      </c>
      <c r="H40" s="39"/>
      <c r="I40" s="19">
        <f t="shared" si="8"/>
        <v>0</v>
      </c>
      <c r="K40" s="39"/>
      <c r="L40" s="19"/>
      <c r="M40" s="19">
        <f t="shared" si="9"/>
        <v>0</v>
      </c>
      <c r="N40" s="39"/>
      <c r="O40" s="19">
        <f t="shared" si="10"/>
        <v>0</v>
      </c>
      <c r="P40" s="11"/>
      <c r="Q40" s="19"/>
      <c r="R40" s="19"/>
      <c r="S40" s="19">
        <f t="shared" si="11"/>
        <v>0</v>
      </c>
      <c r="T40" s="39"/>
      <c r="U40" s="19">
        <f t="shared" si="12"/>
        <v>0</v>
      </c>
    </row>
    <row r="41" spans="2:21" x14ac:dyDescent="0.25">
      <c r="B41" s="9"/>
      <c r="C41" s="10" t="s">
        <v>40</v>
      </c>
      <c r="D41" s="11"/>
      <c r="E41" s="27"/>
      <c r="F41" s="27"/>
      <c r="G41" s="19">
        <f t="shared" si="7"/>
        <v>0</v>
      </c>
      <c r="H41" s="39"/>
      <c r="I41" s="19">
        <f t="shared" si="8"/>
        <v>0</v>
      </c>
      <c r="K41" s="53">
        <v>-992443</v>
      </c>
      <c r="L41" s="27"/>
      <c r="M41" s="19">
        <f t="shared" si="9"/>
        <v>-992443</v>
      </c>
      <c r="N41" s="39"/>
      <c r="O41" s="19">
        <f t="shared" si="10"/>
        <v>-992443</v>
      </c>
      <c r="P41" s="11"/>
      <c r="Q41" s="27">
        <v>-2999556</v>
      </c>
      <c r="R41" s="27"/>
      <c r="S41" s="19">
        <f t="shared" si="11"/>
        <v>-2999556</v>
      </c>
      <c r="T41" s="39"/>
      <c r="U41" s="19">
        <f t="shared" si="12"/>
        <v>-2999556</v>
      </c>
    </row>
    <row r="42" spans="2:21" x14ac:dyDescent="0.25">
      <c r="B42" s="35" t="s">
        <v>112</v>
      </c>
      <c r="C42" s="10"/>
      <c r="D42" s="11"/>
      <c r="E42" s="19">
        <f>SUM(E23:E41)</f>
        <v>0</v>
      </c>
      <c r="F42" s="19">
        <f>SUM(F23:F41)</f>
        <v>0</v>
      </c>
      <c r="G42" s="23">
        <f>SUM(G23:G41)</f>
        <v>0</v>
      </c>
      <c r="H42" s="49">
        <f>SUM(H23:H41)</f>
        <v>1830774</v>
      </c>
      <c r="I42" s="23">
        <f>SUM(I23:I41)</f>
        <v>1830774</v>
      </c>
      <c r="K42" s="39">
        <f>SUM(K23:K41)</f>
        <v>29430889.449999988</v>
      </c>
      <c r="L42" s="19">
        <f>SUM(L23:L41)</f>
        <v>12557763</v>
      </c>
      <c r="M42" s="23">
        <f>SUM(M23:M41)</f>
        <v>41988652.449999988</v>
      </c>
      <c r="N42" s="49">
        <f>SUM(N23:N41)</f>
        <v>-5784279.9757019999</v>
      </c>
      <c r="O42" s="23">
        <f>SUM(O23:O41)</f>
        <v>36204372.474297985</v>
      </c>
      <c r="P42" s="11"/>
      <c r="Q42" s="19">
        <f>SUM(Q23:Q41)</f>
        <v>20225786</v>
      </c>
      <c r="R42" s="19">
        <f>SUM(R23:R41)</f>
        <v>10678048</v>
      </c>
      <c r="S42" s="23">
        <f>SUM(S23:S41)</f>
        <v>30427366</v>
      </c>
      <c r="T42" s="49">
        <f>SUM(T23:T41)</f>
        <v>-7157121</v>
      </c>
      <c r="U42" s="23">
        <f>SUM(U23:U41)</f>
        <v>23270245</v>
      </c>
    </row>
    <row r="43" spans="2:21" x14ac:dyDescent="0.25">
      <c r="B43" s="9"/>
      <c r="C43" s="10" t="s">
        <v>113</v>
      </c>
      <c r="D43" s="11"/>
      <c r="E43" s="19"/>
      <c r="F43" s="19">
        <v>0</v>
      </c>
      <c r="G43" s="19">
        <f t="shared" ref="G43:G45" si="13">+E43+F43</f>
        <v>0</v>
      </c>
      <c r="H43" s="47"/>
      <c r="I43" s="19">
        <f>+G43+H43</f>
        <v>0</v>
      </c>
      <c r="K43" s="39">
        <v>-4237903</v>
      </c>
      <c r="L43" s="19"/>
      <c r="M43" s="19">
        <f t="shared" si="9"/>
        <v>-4237903</v>
      </c>
      <c r="N43" s="47"/>
      <c r="O43" s="19">
        <f>+M43+N43</f>
        <v>-4237903</v>
      </c>
      <c r="P43" s="11"/>
      <c r="Q43" s="19">
        <v>-3550763</v>
      </c>
      <c r="R43" s="19">
        <v>0</v>
      </c>
      <c r="S43" s="19">
        <f t="shared" ref="S43:S45" si="14">+Q43+R43</f>
        <v>-3550763</v>
      </c>
      <c r="T43" s="47"/>
      <c r="U43" s="19">
        <f>+S43+T43</f>
        <v>-3550763</v>
      </c>
    </row>
    <row r="44" spans="2:21" x14ac:dyDescent="0.25">
      <c r="B44" s="9"/>
      <c r="C44" s="10" t="s">
        <v>114</v>
      </c>
      <c r="D44" s="11"/>
      <c r="E44" s="19"/>
      <c r="F44" s="19"/>
      <c r="G44" s="19">
        <f t="shared" si="13"/>
        <v>0</v>
      </c>
      <c r="H44" s="47"/>
      <c r="I44" s="19">
        <f>+G44+H44</f>
        <v>0</v>
      </c>
      <c r="K44" s="39">
        <v>-1591304</v>
      </c>
      <c r="L44" s="19"/>
      <c r="M44" s="19">
        <f t="shared" si="9"/>
        <v>-1591304</v>
      </c>
      <c r="N44" s="47"/>
      <c r="O44" s="19">
        <f>+M44+N44</f>
        <v>-1591304</v>
      </c>
      <c r="P44" s="11"/>
      <c r="Q44" s="19">
        <v>-1759101</v>
      </c>
      <c r="R44" s="19"/>
      <c r="S44" s="19">
        <f t="shared" si="14"/>
        <v>-1759101</v>
      </c>
      <c r="T44" s="47"/>
      <c r="U44" s="19">
        <f>+S44+T44</f>
        <v>-1759101</v>
      </c>
    </row>
    <row r="45" spans="2:21" x14ac:dyDescent="0.25">
      <c r="B45" s="9"/>
      <c r="C45" s="10" t="s">
        <v>115</v>
      </c>
      <c r="D45" s="11"/>
      <c r="E45" s="27"/>
      <c r="F45" s="27"/>
      <c r="G45" s="19">
        <f t="shared" si="13"/>
        <v>0</v>
      </c>
      <c r="H45" s="47"/>
      <c r="I45" s="19">
        <f>+G45+H45</f>
        <v>0</v>
      </c>
      <c r="K45" s="53">
        <v>-207177</v>
      </c>
      <c r="L45" s="27"/>
      <c r="M45" s="19">
        <f t="shared" si="9"/>
        <v>-207177</v>
      </c>
      <c r="N45" s="47"/>
      <c r="O45" s="19">
        <f>+M45+N45</f>
        <v>-207177</v>
      </c>
      <c r="P45" s="11"/>
      <c r="Q45" s="27">
        <v>-107410</v>
      </c>
      <c r="R45" s="27"/>
      <c r="S45" s="19">
        <f t="shared" si="14"/>
        <v>-107410</v>
      </c>
      <c r="T45" s="47"/>
      <c r="U45" s="19">
        <f>+S45+T45</f>
        <v>-107410</v>
      </c>
    </row>
    <row r="46" spans="2:21" x14ac:dyDescent="0.25">
      <c r="B46" s="172" t="s">
        <v>116</v>
      </c>
      <c r="C46" s="82"/>
      <c r="D46" s="83"/>
      <c r="E46" s="20">
        <f>SUM(E42:E45)</f>
        <v>0</v>
      </c>
      <c r="F46" s="20">
        <f>SUM(F42:F45)</f>
        <v>0</v>
      </c>
      <c r="G46" s="20">
        <f>SUM(G42:G45)</f>
        <v>0</v>
      </c>
      <c r="H46" s="48">
        <f>SUM(H42:H45)</f>
        <v>1830774</v>
      </c>
      <c r="I46" s="20">
        <f>SUM(I42:I45)</f>
        <v>1830774</v>
      </c>
      <c r="K46" s="48">
        <f>SUM(K42:K45)</f>
        <v>23394505.449999988</v>
      </c>
      <c r="L46" s="20">
        <f>SUM(L42:L45)</f>
        <v>12557763</v>
      </c>
      <c r="M46" s="20">
        <f>SUM(M42:M45)</f>
        <v>35952268.449999988</v>
      </c>
      <c r="N46" s="48">
        <f>SUM(N42:N45)</f>
        <v>-5784279.9757019999</v>
      </c>
      <c r="O46" s="20">
        <f>SUM(O42:O45)</f>
        <v>30167988.474297985</v>
      </c>
      <c r="P46" s="13"/>
      <c r="Q46" s="20">
        <f>SUM(Q42:Q45)</f>
        <v>14808512</v>
      </c>
      <c r="R46" s="20">
        <f>SUM(R42:R45)</f>
        <v>10678048</v>
      </c>
      <c r="S46" s="20">
        <f>SUM(S42:S45)</f>
        <v>25010092</v>
      </c>
      <c r="T46" s="48">
        <f>SUM(T42:T45)</f>
        <v>-7157121</v>
      </c>
      <c r="U46" s="20">
        <f>SUM(U42:U45)</f>
        <v>17852971</v>
      </c>
    </row>
    <row r="47" spans="2:21" x14ac:dyDescent="0.25">
      <c r="B47" s="6"/>
      <c r="C47" s="7"/>
      <c r="D47" s="8"/>
      <c r="E47" s="19"/>
      <c r="F47" s="19"/>
      <c r="G47" s="15"/>
      <c r="H47" s="47"/>
      <c r="I47" s="15"/>
      <c r="K47" s="39"/>
      <c r="L47" s="19"/>
      <c r="M47" s="15"/>
      <c r="N47" s="47"/>
      <c r="O47" s="15"/>
      <c r="Q47" s="19"/>
      <c r="R47" s="19"/>
      <c r="S47" s="15"/>
      <c r="T47" s="47"/>
      <c r="U47" s="15"/>
    </row>
    <row r="48" spans="2:21" x14ac:dyDescent="0.25">
      <c r="B48" s="35" t="s">
        <v>117</v>
      </c>
      <c r="C48" s="10"/>
      <c r="D48" s="11"/>
      <c r="E48" s="19"/>
      <c r="F48" s="19"/>
      <c r="G48" s="15"/>
      <c r="H48" s="47"/>
      <c r="I48" s="15"/>
      <c r="K48" s="39"/>
      <c r="L48" s="19"/>
      <c r="M48" s="15"/>
      <c r="N48" s="47"/>
      <c r="O48" s="15"/>
      <c r="Q48" s="19"/>
      <c r="R48" s="19"/>
      <c r="S48" s="15"/>
      <c r="T48" s="47"/>
      <c r="U48" s="15"/>
    </row>
    <row r="49" spans="2:21" x14ac:dyDescent="0.25">
      <c r="B49" s="9"/>
      <c r="C49" s="169" t="s">
        <v>118</v>
      </c>
      <c r="D49" s="11"/>
      <c r="E49" s="19"/>
      <c r="F49" s="19"/>
      <c r="G49" s="19">
        <f t="shared" ref="G49:G54" si="15">+E49+F49</f>
        <v>0</v>
      </c>
      <c r="H49" s="47"/>
      <c r="I49" s="19">
        <f>+G49+H49</f>
        <v>0</v>
      </c>
      <c r="K49" s="39">
        <v>251011</v>
      </c>
      <c r="L49" s="19"/>
      <c r="M49" s="19">
        <f t="shared" ref="M49:M56" si="16">+K49+L49</f>
        <v>251011</v>
      </c>
      <c r="N49" s="47"/>
      <c r="O49" s="19">
        <f>+M49+N49</f>
        <v>251011</v>
      </c>
      <c r="Q49" s="19">
        <v>-593863</v>
      </c>
      <c r="R49" s="19"/>
      <c r="S49" s="19">
        <f t="shared" ref="S49:S54" si="17">+Q49+R49</f>
        <v>-593863</v>
      </c>
      <c r="T49" s="47"/>
      <c r="U49" s="19">
        <f>+S49+T49</f>
        <v>-593863</v>
      </c>
    </row>
    <row r="50" spans="2:21" x14ac:dyDescent="0.25">
      <c r="B50" s="9"/>
      <c r="C50" s="169" t="s">
        <v>119</v>
      </c>
      <c r="D50" s="11"/>
      <c r="E50" s="19"/>
      <c r="F50" s="19"/>
      <c r="G50" s="19">
        <f t="shared" si="15"/>
        <v>0</v>
      </c>
      <c r="H50" s="47"/>
      <c r="I50" s="19">
        <f t="shared" ref="I50" si="18">+G50+H50</f>
        <v>0</v>
      </c>
      <c r="K50" s="39">
        <v>29809</v>
      </c>
      <c r="L50" s="19">
        <v>-205582</v>
      </c>
      <c r="M50" s="19">
        <f t="shared" si="16"/>
        <v>-175773</v>
      </c>
      <c r="N50" s="47"/>
      <c r="O50" s="19">
        <f>+M50+N50</f>
        <v>-175773</v>
      </c>
      <c r="Q50" s="19">
        <v>5828169</v>
      </c>
      <c r="R50" s="19"/>
      <c r="S50" s="19">
        <f t="shared" si="17"/>
        <v>5828169</v>
      </c>
      <c r="T50" s="47"/>
      <c r="U50" s="19">
        <f t="shared" ref="U50:U56" si="19">+S50+T50</f>
        <v>5828169</v>
      </c>
    </row>
    <row r="51" spans="2:21" x14ac:dyDescent="0.25">
      <c r="B51" s="9"/>
      <c r="C51" s="10" t="s">
        <v>342</v>
      </c>
      <c r="D51" s="11"/>
      <c r="E51" s="19"/>
      <c r="F51" s="19">
        <v>205582</v>
      </c>
      <c r="G51" s="19">
        <f t="shared" si="15"/>
        <v>205582</v>
      </c>
      <c r="H51" s="47"/>
      <c r="I51" s="19"/>
      <c r="K51" s="39"/>
      <c r="L51" s="19"/>
      <c r="M51" s="19">
        <f t="shared" si="16"/>
        <v>0</v>
      </c>
      <c r="N51" s="47"/>
      <c r="O51" s="19"/>
      <c r="Q51" s="19">
        <v>0</v>
      </c>
      <c r="R51" s="19"/>
      <c r="S51" s="19">
        <f t="shared" si="17"/>
        <v>0</v>
      </c>
      <c r="T51" s="47"/>
      <c r="U51" s="19"/>
    </row>
    <row r="52" spans="2:21" x14ac:dyDescent="0.25">
      <c r="B52" s="9"/>
      <c r="C52" s="10" t="s">
        <v>120</v>
      </c>
      <c r="D52" s="11"/>
      <c r="E52" s="19"/>
      <c r="F52" s="19"/>
      <c r="G52" s="19">
        <f t="shared" si="15"/>
        <v>0</v>
      </c>
      <c r="H52" s="47"/>
      <c r="I52" s="19">
        <f t="shared" ref="I52:I56" si="20">+G52+H52</f>
        <v>0</v>
      </c>
      <c r="K52" s="39">
        <v>1978971</v>
      </c>
      <c r="L52" s="19"/>
      <c r="M52" s="19">
        <f t="shared" si="16"/>
        <v>1978971</v>
      </c>
      <c r="N52" s="47"/>
      <c r="O52" s="19">
        <f>+M52+N52</f>
        <v>1978971</v>
      </c>
      <c r="Q52" s="19">
        <v>-962949</v>
      </c>
      <c r="R52" s="19"/>
      <c r="S52" s="19">
        <f t="shared" si="17"/>
        <v>-962949</v>
      </c>
      <c r="T52" s="47"/>
      <c r="U52" s="19">
        <f t="shared" si="19"/>
        <v>-962949</v>
      </c>
    </row>
    <row r="53" spans="2:21" x14ac:dyDescent="0.25">
      <c r="B53" s="9"/>
      <c r="C53" s="10" t="s">
        <v>326</v>
      </c>
      <c r="D53" s="11"/>
      <c r="E53" s="19"/>
      <c r="F53" s="19">
        <v>-11702814</v>
      </c>
      <c r="G53" s="19">
        <f t="shared" si="15"/>
        <v>-11702814</v>
      </c>
      <c r="H53" s="39"/>
      <c r="I53" s="19">
        <f t="shared" si="20"/>
        <v>-11702814</v>
      </c>
      <c r="K53" s="39">
        <v>-10976052</v>
      </c>
      <c r="L53" s="19">
        <v>-6427483</v>
      </c>
      <c r="M53" s="19">
        <f t="shared" si="16"/>
        <v>-17403535</v>
      </c>
      <c r="N53" s="39">
        <f>+AD!J22</f>
        <v>5827272</v>
      </c>
      <c r="O53" s="19">
        <f>+M53+N53</f>
        <v>-11576263</v>
      </c>
      <c r="Q53" s="19">
        <v>-13974701</v>
      </c>
      <c r="R53" s="19">
        <v>-7233185</v>
      </c>
      <c r="S53" s="19">
        <f t="shared" si="17"/>
        <v>-21207886</v>
      </c>
      <c r="T53" s="39">
        <f>+AD!L22</f>
        <v>7144181</v>
      </c>
      <c r="U53" s="19">
        <f t="shared" si="19"/>
        <v>-14063705</v>
      </c>
    </row>
    <row r="54" spans="2:21" hidden="1" x14ac:dyDescent="0.25">
      <c r="B54" s="9"/>
      <c r="C54" s="10" t="s">
        <v>121</v>
      </c>
      <c r="D54" s="11"/>
      <c r="E54" s="19"/>
      <c r="F54" s="19"/>
      <c r="G54" s="19">
        <f t="shared" si="15"/>
        <v>0</v>
      </c>
      <c r="H54" s="47"/>
      <c r="I54" s="19">
        <f t="shared" si="20"/>
        <v>0</v>
      </c>
      <c r="K54" s="39"/>
      <c r="L54" s="19"/>
      <c r="M54" s="19">
        <f t="shared" si="16"/>
        <v>0</v>
      </c>
      <c r="N54" s="47"/>
      <c r="O54" s="19">
        <f>+M54+N54</f>
        <v>0</v>
      </c>
      <c r="Q54" s="19">
        <v>0</v>
      </c>
      <c r="R54" s="19"/>
      <c r="S54" s="19">
        <f t="shared" si="17"/>
        <v>0</v>
      </c>
      <c r="T54" s="47"/>
      <c r="U54" s="19">
        <f t="shared" si="19"/>
        <v>0</v>
      </c>
    </row>
    <row r="55" spans="2:21" hidden="1" x14ac:dyDescent="0.25">
      <c r="B55" s="9"/>
      <c r="C55" s="170" t="s">
        <v>122</v>
      </c>
      <c r="D55" s="11"/>
      <c r="E55" s="19"/>
      <c r="F55" s="19"/>
      <c r="G55" s="19"/>
      <c r="H55" s="47"/>
      <c r="I55" s="19">
        <f t="shared" si="20"/>
        <v>0</v>
      </c>
      <c r="K55" s="39"/>
      <c r="L55" s="19"/>
      <c r="M55" s="19"/>
      <c r="N55" s="47"/>
      <c r="O55" s="19">
        <f>+M55+N55</f>
        <v>0</v>
      </c>
      <c r="Q55" s="19"/>
      <c r="R55" s="19"/>
      <c r="S55" s="19"/>
      <c r="T55" s="47"/>
      <c r="U55" s="19">
        <f t="shared" si="19"/>
        <v>0</v>
      </c>
    </row>
    <row r="56" spans="2:21" x14ac:dyDescent="0.25">
      <c r="B56" s="9"/>
      <c r="C56" s="10" t="s">
        <v>327</v>
      </c>
      <c r="D56" s="11"/>
      <c r="E56" s="27"/>
      <c r="F56" s="27">
        <v>-231006</v>
      </c>
      <c r="G56" s="19">
        <f t="shared" ref="G56" si="21">+E56+F56</f>
        <v>-231006</v>
      </c>
      <c r="H56" s="47"/>
      <c r="I56" s="19">
        <f t="shared" si="20"/>
        <v>-231006</v>
      </c>
      <c r="K56" s="53">
        <v>-4862718</v>
      </c>
      <c r="L56" s="27">
        <v>-15600</v>
      </c>
      <c r="M56" s="19">
        <f t="shared" si="16"/>
        <v>-4878318</v>
      </c>
      <c r="N56" s="47"/>
      <c r="O56" s="19">
        <f>+M56+N56</f>
        <v>-4878318</v>
      </c>
      <c r="Q56" s="27">
        <v>-1204028</v>
      </c>
      <c r="R56" s="27">
        <v>-261435</v>
      </c>
      <c r="S56" s="19">
        <f t="shared" ref="S56" si="22">+Q56+R56</f>
        <v>-1465463</v>
      </c>
      <c r="T56" s="47"/>
      <c r="U56" s="19">
        <f t="shared" si="19"/>
        <v>-1465463</v>
      </c>
    </row>
    <row r="57" spans="2:21" x14ac:dyDescent="0.25">
      <c r="B57" s="172" t="s">
        <v>123</v>
      </c>
      <c r="C57" s="82"/>
      <c r="D57" s="83"/>
      <c r="E57" s="20">
        <f>E49+E50+E51+E52+E53+E54+E56</f>
        <v>0</v>
      </c>
      <c r="F57" s="20">
        <f>SUM(F49:F56)</f>
        <v>-11728238</v>
      </c>
      <c r="G57" s="20">
        <f>SUM(G49:G56)</f>
        <v>-11728238</v>
      </c>
      <c r="H57" s="48">
        <f>SUM(H49:H56)</f>
        <v>0</v>
      </c>
      <c r="I57" s="20">
        <f>SUM(I49:I56)</f>
        <v>-11933820</v>
      </c>
      <c r="K57" s="48">
        <f>K49+K50+K51+K52+K53+K54+K56</f>
        <v>-13578979</v>
      </c>
      <c r="L57" s="20">
        <f>SUM(L49:L56)</f>
        <v>-6648665</v>
      </c>
      <c r="M57" s="20">
        <f>SUM(M49:M56)</f>
        <v>-20227644</v>
      </c>
      <c r="N57" s="48">
        <f>SUM(N49:N56)</f>
        <v>5827272</v>
      </c>
      <c r="O57" s="20">
        <f>SUM(O49:O56)</f>
        <v>-14400372</v>
      </c>
      <c r="Q57" s="20">
        <f>Q49+Q50+Q51+Q52+Q53+Q54+Q56</f>
        <v>-10907372</v>
      </c>
      <c r="R57" s="20">
        <f>SUM(R49:R56)</f>
        <v>-7494620</v>
      </c>
      <c r="S57" s="20">
        <f>SUM(S49:S56)</f>
        <v>-18401992</v>
      </c>
      <c r="T57" s="48">
        <f>SUM(T49:T56)</f>
        <v>7144181</v>
      </c>
      <c r="U57" s="20">
        <f>SUM(U49:U56)</f>
        <v>-11257811</v>
      </c>
    </row>
    <row r="58" spans="2:21" x14ac:dyDescent="0.25">
      <c r="B58" s="6"/>
      <c r="C58" s="7"/>
      <c r="D58" s="8"/>
      <c r="E58" s="19"/>
      <c r="F58" s="19"/>
      <c r="G58" s="15"/>
      <c r="H58" s="47"/>
      <c r="I58" s="15"/>
      <c r="K58" s="39"/>
      <c r="L58" s="19"/>
      <c r="M58" s="15"/>
      <c r="N58" s="47"/>
      <c r="O58" s="15"/>
      <c r="Q58" s="19"/>
      <c r="R58" s="19"/>
      <c r="S58" s="15"/>
      <c r="T58" s="47"/>
      <c r="U58" s="15"/>
    </row>
    <row r="59" spans="2:21" x14ac:dyDescent="0.25">
      <c r="B59" s="35" t="s">
        <v>124</v>
      </c>
      <c r="C59" s="10"/>
      <c r="D59" s="11"/>
      <c r="E59" s="19"/>
      <c r="F59" s="19"/>
      <c r="G59" s="15"/>
      <c r="H59" s="47"/>
      <c r="I59" s="15"/>
      <c r="K59" s="39"/>
      <c r="L59" s="39"/>
      <c r="M59" s="19">
        <f t="shared" ref="M59:M67" si="23">+K59+L59</f>
        <v>0</v>
      </c>
      <c r="N59" s="47"/>
      <c r="O59" s="15"/>
      <c r="Q59" s="19"/>
      <c r="R59" s="19"/>
      <c r="S59" s="15"/>
      <c r="T59" s="47"/>
      <c r="U59" s="15"/>
    </row>
    <row r="60" spans="2:21" hidden="1" x14ac:dyDescent="0.25">
      <c r="B60" s="9"/>
      <c r="C60" s="10" t="s">
        <v>125</v>
      </c>
      <c r="D60" s="11"/>
      <c r="E60" s="19">
        <v>0</v>
      </c>
      <c r="F60" s="19"/>
      <c r="G60" s="29">
        <f t="shared" ref="G60:G67" si="24">+E60+F60</f>
        <v>0</v>
      </c>
      <c r="H60" s="47"/>
      <c r="I60" s="19">
        <f t="shared" ref="I60:I67" si="25">+G60+H60</f>
        <v>0</v>
      </c>
      <c r="K60" s="39">
        <v>0</v>
      </c>
      <c r="L60" s="39"/>
      <c r="M60" s="19">
        <f t="shared" si="23"/>
        <v>0</v>
      </c>
      <c r="N60" s="47"/>
      <c r="O60" s="19">
        <f t="shared" ref="O60:O67" si="26">+M60+N60</f>
        <v>0</v>
      </c>
      <c r="Q60" s="19">
        <v>0</v>
      </c>
      <c r="R60" s="19"/>
      <c r="S60" s="29">
        <f t="shared" ref="S60:S67" si="27">+Q60+R60</f>
        <v>0</v>
      </c>
      <c r="T60" s="47"/>
      <c r="U60" s="19">
        <f t="shared" ref="U60:U67" si="28">+S60+T60</f>
        <v>0</v>
      </c>
    </row>
    <row r="61" spans="2:21" hidden="1" x14ac:dyDescent="0.25">
      <c r="B61" s="9"/>
      <c r="C61" s="10" t="s">
        <v>45</v>
      </c>
      <c r="D61" s="11"/>
      <c r="E61" s="19"/>
      <c r="F61" s="19"/>
      <c r="G61" s="19">
        <f t="shared" si="24"/>
        <v>0</v>
      </c>
      <c r="H61" s="47"/>
      <c r="I61" s="19">
        <f t="shared" si="25"/>
        <v>0</v>
      </c>
      <c r="K61" s="39"/>
      <c r="L61" s="39"/>
      <c r="M61" s="19">
        <f t="shared" si="23"/>
        <v>0</v>
      </c>
      <c r="N61" s="47"/>
      <c r="O61" s="19">
        <f t="shared" si="26"/>
        <v>0</v>
      </c>
      <c r="Q61" s="19"/>
      <c r="R61" s="19"/>
      <c r="S61" s="19">
        <f t="shared" si="27"/>
        <v>0</v>
      </c>
      <c r="T61" s="47"/>
      <c r="U61" s="19">
        <f t="shared" si="28"/>
        <v>0</v>
      </c>
    </row>
    <row r="62" spans="2:21" hidden="1" x14ac:dyDescent="0.25">
      <c r="B62" s="9"/>
      <c r="C62" s="10" t="s">
        <v>126</v>
      </c>
      <c r="D62" s="11"/>
      <c r="E62" s="19"/>
      <c r="F62" s="39"/>
      <c r="G62" s="19">
        <f t="shared" si="24"/>
        <v>0</v>
      </c>
      <c r="H62" s="47"/>
      <c r="I62" s="19">
        <f t="shared" si="25"/>
        <v>0</v>
      </c>
      <c r="K62" s="39"/>
      <c r="L62" s="39"/>
      <c r="M62" s="19">
        <f t="shared" si="23"/>
        <v>0</v>
      </c>
      <c r="N62" s="47"/>
      <c r="O62" s="19">
        <f t="shared" si="26"/>
        <v>0</v>
      </c>
      <c r="Q62" s="19"/>
      <c r="R62" s="39"/>
      <c r="S62" s="19">
        <f t="shared" si="27"/>
        <v>0</v>
      </c>
      <c r="T62" s="47"/>
      <c r="U62" s="19">
        <f t="shared" si="28"/>
        <v>0</v>
      </c>
    </row>
    <row r="63" spans="2:21" x14ac:dyDescent="0.25">
      <c r="B63" s="9"/>
      <c r="C63" s="10" t="s">
        <v>336</v>
      </c>
      <c r="D63" s="11"/>
      <c r="E63" s="19"/>
      <c r="F63" s="39">
        <v>-1606362</v>
      </c>
      <c r="G63" s="19">
        <f t="shared" si="24"/>
        <v>-1606362</v>
      </c>
      <c r="H63" s="47"/>
      <c r="I63" s="19">
        <f t="shared" si="25"/>
        <v>-1606362</v>
      </c>
      <c r="K63" s="39">
        <v>-7240853</v>
      </c>
      <c r="L63" s="39">
        <v>873161</v>
      </c>
      <c r="M63" s="19">
        <f t="shared" si="23"/>
        <v>-6367692</v>
      </c>
      <c r="N63" s="47"/>
      <c r="O63" s="19">
        <f t="shared" si="26"/>
        <v>-6367692</v>
      </c>
      <c r="Q63" s="19">
        <v>-4709384</v>
      </c>
      <c r="R63" s="39">
        <v>-3372028</v>
      </c>
      <c r="S63" s="19">
        <f t="shared" si="27"/>
        <v>-8081412</v>
      </c>
      <c r="T63" s="47"/>
      <c r="U63" s="19">
        <f t="shared" si="28"/>
        <v>-8081412</v>
      </c>
    </row>
    <row r="64" spans="2:21" x14ac:dyDescent="0.25">
      <c r="B64" s="9"/>
      <c r="C64" s="41" t="s">
        <v>344</v>
      </c>
      <c r="D64" s="11"/>
      <c r="E64" s="19"/>
      <c r="F64" s="39">
        <v>-715413</v>
      </c>
      <c r="G64" s="19">
        <f t="shared" si="24"/>
        <v>-715413</v>
      </c>
      <c r="H64" s="47"/>
      <c r="I64" s="19">
        <f t="shared" si="25"/>
        <v>-715413</v>
      </c>
      <c r="K64" s="39"/>
      <c r="L64" s="39"/>
      <c r="M64" s="19"/>
      <c r="N64" s="47"/>
      <c r="O64" s="19"/>
      <c r="Q64" s="19"/>
      <c r="R64" s="39"/>
      <c r="S64" s="19"/>
      <c r="T64" s="47"/>
      <c r="U64" s="19"/>
    </row>
    <row r="65" spans="1:21" x14ac:dyDescent="0.25">
      <c r="B65" s="9"/>
      <c r="C65" s="41" t="s">
        <v>343</v>
      </c>
      <c r="D65" s="11"/>
      <c r="E65" s="19"/>
      <c r="F65" s="39">
        <v>-3373023</v>
      </c>
      <c r="G65" s="19">
        <f t="shared" si="24"/>
        <v>-3373023</v>
      </c>
      <c r="H65" s="47"/>
      <c r="I65" s="19">
        <f t="shared" si="25"/>
        <v>-3373023</v>
      </c>
      <c r="K65" s="39"/>
      <c r="L65" s="39"/>
      <c r="M65" s="19"/>
      <c r="N65" s="47"/>
      <c r="O65" s="19"/>
      <c r="Q65" s="19"/>
      <c r="R65" s="39"/>
      <c r="S65" s="19"/>
      <c r="T65" s="47"/>
      <c r="U65" s="19"/>
    </row>
    <row r="66" spans="1:21" x14ac:dyDescent="0.25">
      <c r="B66" s="9"/>
      <c r="C66" s="10" t="s">
        <v>274</v>
      </c>
      <c r="D66" s="11"/>
      <c r="E66" s="19"/>
      <c r="F66" s="39"/>
      <c r="G66" s="19">
        <f t="shared" si="24"/>
        <v>0</v>
      </c>
      <c r="H66" s="47"/>
      <c r="I66" s="19">
        <f t="shared" si="25"/>
        <v>0</v>
      </c>
      <c r="K66" s="39">
        <v>-7134782</v>
      </c>
      <c r="L66" s="39"/>
      <c r="M66" s="19">
        <f t="shared" si="23"/>
        <v>-7134782</v>
      </c>
      <c r="N66" s="47"/>
      <c r="O66" s="19">
        <f t="shared" si="26"/>
        <v>-7134782</v>
      </c>
      <c r="Q66" s="19">
        <v>-8370991</v>
      </c>
      <c r="R66" s="39">
        <v>0</v>
      </c>
      <c r="S66" s="19">
        <f t="shared" si="27"/>
        <v>-8370991</v>
      </c>
      <c r="T66" s="47"/>
      <c r="U66" s="19">
        <f t="shared" si="28"/>
        <v>-8370991</v>
      </c>
    </row>
    <row r="67" spans="1:21" hidden="1" x14ac:dyDescent="0.25">
      <c r="B67" s="9"/>
      <c r="C67" s="10" t="s">
        <v>127</v>
      </c>
      <c r="D67" s="11"/>
      <c r="E67" s="19"/>
      <c r="F67" s="19"/>
      <c r="G67" s="19">
        <f t="shared" si="24"/>
        <v>0</v>
      </c>
      <c r="H67" s="47"/>
      <c r="I67" s="19">
        <f t="shared" si="25"/>
        <v>0</v>
      </c>
      <c r="K67" s="39"/>
      <c r="L67" s="64"/>
      <c r="M67" s="19">
        <f t="shared" si="23"/>
        <v>0</v>
      </c>
      <c r="N67" s="47"/>
      <c r="O67" s="19">
        <f t="shared" si="26"/>
        <v>0</v>
      </c>
      <c r="Q67" s="19"/>
      <c r="R67" s="19"/>
      <c r="S67" s="19">
        <f t="shared" si="27"/>
        <v>0</v>
      </c>
      <c r="T67" s="47"/>
      <c r="U67" s="19">
        <f t="shared" si="28"/>
        <v>0</v>
      </c>
    </row>
    <row r="68" spans="1:21" x14ac:dyDescent="0.25">
      <c r="B68" s="171" t="s">
        <v>128</v>
      </c>
      <c r="C68" s="82"/>
      <c r="D68" s="83"/>
      <c r="E68" s="20">
        <f>SUM(E60:E67)</f>
        <v>0</v>
      </c>
      <c r="F68" s="20">
        <f>SUM(F60:F67)</f>
        <v>-5694798</v>
      </c>
      <c r="G68" s="20">
        <f>SUM(G60:G67)</f>
        <v>-5694798</v>
      </c>
      <c r="H68" s="48">
        <f>SUM(H60:H67)</f>
        <v>0</v>
      </c>
      <c r="I68" s="20">
        <f>SUM(I60:I67)</f>
        <v>-5694798</v>
      </c>
      <c r="K68" s="48">
        <f>SUM(K60:K67)</f>
        <v>-14375635</v>
      </c>
      <c r="L68" s="20">
        <f>SUM(L60:L67)</f>
        <v>873161</v>
      </c>
      <c r="M68" s="20">
        <f>SUM(M60:M67)</f>
        <v>-13502474</v>
      </c>
      <c r="N68" s="48">
        <f>SUM(N60:N67)</f>
        <v>0</v>
      </c>
      <c r="O68" s="20">
        <f>SUM(O60:O67)</f>
        <v>-13502474</v>
      </c>
      <c r="Q68" s="20">
        <f>SUM(Q60:Q67)</f>
        <v>-13080375</v>
      </c>
      <c r="R68" s="20">
        <f>SUM(R60:R67)</f>
        <v>-3372028</v>
      </c>
      <c r="S68" s="20">
        <f>SUM(S60:S67)</f>
        <v>-16452403</v>
      </c>
      <c r="T68" s="48">
        <f>SUM(T60:T67)</f>
        <v>0</v>
      </c>
      <c r="U68" s="20">
        <f>SUM(U60:U67)</f>
        <v>-16452403</v>
      </c>
    </row>
    <row r="69" spans="1:21" x14ac:dyDescent="0.25">
      <c r="B69" s="116" t="s">
        <v>143</v>
      </c>
      <c r="C69" s="82"/>
      <c r="D69" s="83"/>
      <c r="E69" s="36">
        <f>+E68+E57+E46</f>
        <v>0</v>
      </c>
      <c r="F69" s="36">
        <f>+F68+F57+F46</f>
        <v>-17423036</v>
      </c>
      <c r="G69" s="33">
        <f>+G68+G57+G46</f>
        <v>-17423036</v>
      </c>
      <c r="H69" s="91">
        <f>+H68+H57+H46</f>
        <v>1830774</v>
      </c>
      <c r="I69" s="33">
        <f>+I68+I57+I46</f>
        <v>-15797844</v>
      </c>
      <c r="K69" s="167">
        <f>+K68+K57+K46</f>
        <v>-4560108.5500000119</v>
      </c>
      <c r="L69" s="36">
        <f>+L68+L57+L46</f>
        <v>6782259</v>
      </c>
      <c r="M69" s="33">
        <f>+M68+M57+M46</f>
        <v>2222150.4499999881</v>
      </c>
      <c r="N69" s="91">
        <f>+N68+N57+N46</f>
        <v>42992.024298000149</v>
      </c>
      <c r="O69" s="33">
        <f>+O68+O57+O46</f>
        <v>2265142.4742979854</v>
      </c>
      <c r="Q69" s="36">
        <f>+Q68+Q57+Q46</f>
        <v>-9179235</v>
      </c>
      <c r="R69" s="36">
        <f>+R68+R57+R46</f>
        <v>-188600</v>
      </c>
      <c r="S69" s="33">
        <f>+S68+S57+S46</f>
        <v>-9844303</v>
      </c>
      <c r="T69" s="91">
        <f>+T68+T57+T46</f>
        <v>-12940</v>
      </c>
      <c r="U69" s="33">
        <f>+U68+U57+U46</f>
        <v>-9857243</v>
      </c>
    </row>
    <row r="70" spans="1:21" x14ac:dyDescent="0.25">
      <c r="A70" s="10"/>
      <c r="K70" s="42"/>
      <c r="L70" s="4"/>
      <c r="M70" s="38">
        <f>+L69+K69-M69</f>
        <v>0</v>
      </c>
      <c r="N70" s="40"/>
    </row>
    <row r="71" spans="1:21" x14ac:dyDescent="0.25">
      <c r="A71" s="9"/>
      <c r="B71" s="6" t="s">
        <v>129</v>
      </c>
      <c r="C71" s="7"/>
      <c r="D71" s="7"/>
      <c r="E71" s="23">
        <f>+E69</f>
        <v>0</v>
      </c>
      <c r="F71" s="23">
        <v>-188600</v>
      </c>
      <c r="G71" s="23">
        <f t="shared" ref="G71:G72" si="29">+E71+F71</f>
        <v>-188600</v>
      </c>
      <c r="H71" s="74"/>
      <c r="I71" s="32">
        <f>+G71+H71</f>
        <v>-188600</v>
      </c>
      <c r="K71" s="49">
        <f>+K69</f>
        <v>-4560108.5500000119</v>
      </c>
      <c r="L71" s="23">
        <f>+L69</f>
        <v>6782259</v>
      </c>
      <c r="M71" s="23">
        <f t="shared" ref="M71:M72" si="30">+K71+L71</f>
        <v>2222150.4499999881</v>
      </c>
      <c r="N71" s="74"/>
      <c r="O71" s="32">
        <f>+M71+N71</f>
        <v>2222150.4499999881</v>
      </c>
      <c r="P71" s="7"/>
      <c r="Q71" s="23">
        <f>+Q69</f>
        <v>-9179235</v>
      </c>
      <c r="R71" s="23">
        <v>-188600</v>
      </c>
      <c r="S71" s="23">
        <f t="shared" ref="S71:S72" si="31">+Q71+R71</f>
        <v>-9367835</v>
      </c>
      <c r="T71" s="74"/>
      <c r="U71" s="32">
        <f>+S71+T71</f>
        <v>-9367835</v>
      </c>
    </row>
    <row r="72" spans="1:21" x14ac:dyDescent="0.25">
      <c r="A72" s="9"/>
      <c r="B72" s="9" t="s">
        <v>130</v>
      </c>
      <c r="C72" s="10"/>
      <c r="D72" s="10"/>
      <c r="E72" s="19">
        <v>10525965</v>
      </c>
      <c r="F72" s="19">
        <v>4367583</v>
      </c>
      <c r="G72" s="19">
        <f t="shared" si="29"/>
        <v>14893548</v>
      </c>
      <c r="H72" s="47"/>
      <c r="I72" s="29">
        <f>+G72</f>
        <v>14893548</v>
      </c>
      <c r="K72" s="39">
        <v>1346730</v>
      </c>
      <c r="L72" s="19">
        <v>585324</v>
      </c>
      <c r="M72" s="19">
        <f t="shared" si="30"/>
        <v>1932054</v>
      </c>
      <c r="N72" s="47"/>
      <c r="O72" s="29">
        <f>+M72</f>
        <v>1932054</v>
      </c>
      <c r="P72" s="10"/>
      <c r="Q72" s="19">
        <v>10525965</v>
      </c>
      <c r="R72" s="19">
        <v>773924</v>
      </c>
      <c r="S72" s="19">
        <f t="shared" si="31"/>
        <v>11299889</v>
      </c>
      <c r="T72" s="47"/>
      <c r="U72" s="29">
        <f>+S72</f>
        <v>11299889</v>
      </c>
    </row>
    <row r="73" spans="1:21" x14ac:dyDescent="0.25">
      <c r="A73" s="9"/>
      <c r="B73" s="22" t="s">
        <v>131</v>
      </c>
      <c r="C73" s="12"/>
      <c r="D73" s="12"/>
      <c r="E73" s="20">
        <f>E71+E72</f>
        <v>10525965</v>
      </c>
      <c r="F73" s="20">
        <f>F71+F72</f>
        <v>4178983</v>
      </c>
      <c r="G73" s="20">
        <f>+G71+G72</f>
        <v>14704948</v>
      </c>
      <c r="H73" s="48">
        <f>+H71+H72</f>
        <v>0</v>
      </c>
      <c r="I73" s="20">
        <f>+I71+I72</f>
        <v>14704948</v>
      </c>
      <c r="K73" s="48">
        <f>K71+K72</f>
        <v>-3213378.5500000119</v>
      </c>
      <c r="L73" s="20">
        <f>L71+L72</f>
        <v>7367583</v>
      </c>
      <c r="M73" s="20">
        <f>+M71+M72</f>
        <v>4154204.4499999881</v>
      </c>
      <c r="N73" s="48">
        <f>+N71+N72</f>
        <v>0</v>
      </c>
      <c r="O73" s="20">
        <f>+O71+O72</f>
        <v>4154204.4499999881</v>
      </c>
      <c r="P73" s="12"/>
      <c r="Q73" s="20">
        <f>Q71+Q72</f>
        <v>1346730</v>
      </c>
      <c r="R73" s="20">
        <f>R71+R72</f>
        <v>585324</v>
      </c>
      <c r="S73" s="20">
        <f>+S71+S72</f>
        <v>1932054</v>
      </c>
      <c r="T73" s="48">
        <f>+T71+T72</f>
        <v>0</v>
      </c>
      <c r="U73" s="20">
        <f>+U71+U72</f>
        <v>1932054</v>
      </c>
    </row>
    <row r="74" spans="1:21" x14ac:dyDescent="0.25">
      <c r="A74" s="10"/>
      <c r="K74" s="42"/>
      <c r="L74" s="4"/>
      <c r="N74" s="40"/>
    </row>
    <row r="75" spans="1:21" x14ac:dyDescent="0.25">
      <c r="K75" s="42"/>
      <c r="L75" s="4"/>
      <c r="N75" s="40"/>
    </row>
    <row r="76" spans="1:21" x14ac:dyDescent="0.25">
      <c r="E76" s="61"/>
      <c r="F76" s="61"/>
      <c r="G76" s="61"/>
      <c r="H76" s="61"/>
      <c r="I76" s="61"/>
      <c r="K76" s="42"/>
      <c r="L76" s="4"/>
      <c r="N76" s="40"/>
      <c r="Q76" s="61"/>
      <c r="R76" s="61"/>
      <c r="S76" s="61"/>
      <c r="T76" s="61"/>
      <c r="U76" s="61"/>
    </row>
    <row r="77" spans="1:21" x14ac:dyDescent="0.25">
      <c r="E77" s="61"/>
      <c r="F77" s="10"/>
      <c r="G77" s="10"/>
      <c r="K77" s="168" t="s">
        <v>254</v>
      </c>
      <c r="L77" s="7"/>
      <c r="M77" s="7"/>
      <c r="N77" s="40"/>
      <c r="Q77" s="61"/>
      <c r="R77" s="10"/>
      <c r="S77" s="10"/>
    </row>
    <row r="78" spans="1:21" x14ac:dyDescent="0.25">
      <c r="E78" s="61"/>
      <c r="F78" s="10"/>
      <c r="G78" s="10"/>
      <c r="K78" s="42" t="s">
        <v>255</v>
      </c>
      <c r="N78" s="40"/>
      <c r="Q78" s="61"/>
      <c r="R78" s="10"/>
      <c r="S78" s="10"/>
    </row>
  </sheetData>
  <mergeCells count="2">
    <mergeCell ref="C14:D14"/>
    <mergeCell ref="B9:D9"/>
  </mergeCells>
  <pageMargins left="0.7" right="0.7" top="0.75" bottom="0.75" header="0.3" footer="0.3"/>
  <pageSetup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L178"/>
  <sheetViews>
    <sheetView topLeftCell="A4" zoomScaleNormal="100" workbookViewId="0">
      <pane xSplit="5" ySplit="12" topLeftCell="F138" activePane="bottomRight" state="frozen"/>
      <selection activeCell="A4" sqref="A4"/>
      <selection pane="topRight" activeCell="F4" sqref="F4"/>
      <selection pane="bottomLeft" activeCell="A16" sqref="A16"/>
      <selection pane="bottomRight" activeCell="G171" sqref="G171"/>
    </sheetView>
  </sheetViews>
  <sheetFormatPr defaultColWidth="11.42578125" defaultRowHeight="15" outlineLevelRow="1" x14ac:dyDescent="0.25"/>
  <cols>
    <col min="1" max="1" width="2.85546875" customWidth="1"/>
    <col min="2" max="4" width="11.42578125" style="40"/>
    <col min="5" max="5" width="12.140625" style="40" customWidth="1"/>
    <col min="6" max="6" width="12.7109375" style="4" customWidth="1"/>
    <col min="7" max="7" width="12.7109375" style="4" bestFit="1" customWidth="1"/>
    <col min="8" max="8" width="12.5703125" bestFit="1" customWidth="1"/>
    <col min="9" max="9" width="13.42578125" bestFit="1" customWidth="1"/>
    <col min="10" max="10" width="13.140625" customWidth="1"/>
    <col min="11" max="12" width="12.28515625" bestFit="1" customWidth="1"/>
  </cols>
  <sheetData>
    <row r="1" spans="1:10" x14ac:dyDescent="0.25">
      <c r="A1" s="2" t="s">
        <v>0</v>
      </c>
    </row>
    <row r="2" spans="1:10" x14ac:dyDescent="0.25">
      <c r="A2" s="1" t="s">
        <v>150</v>
      </c>
    </row>
    <row r="3" spans="1:10" x14ac:dyDescent="0.25">
      <c r="A3" s="1" t="s">
        <v>303</v>
      </c>
    </row>
    <row r="4" spans="1:10" x14ac:dyDescent="0.25">
      <c r="A4" s="3" t="s">
        <v>18</v>
      </c>
      <c r="F4" s="23"/>
      <c r="G4" s="23"/>
      <c r="H4" s="14"/>
      <c r="I4" s="14"/>
      <c r="J4" s="14"/>
    </row>
    <row r="5" spans="1:10" x14ac:dyDescent="0.25">
      <c r="F5" s="19"/>
      <c r="G5" s="19"/>
      <c r="H5" s="15"/>
      <c r="I5" s="16" t="s">
        <v>51</v>
      </c>
      <c r="J5" s="16"/>
    </row>
    <row r="6" spans="1:10" x14ac:dyDescent="0.25">
      <c r="F6" s="25" t="s">
        <v>15</v>
      </c>
      <c r="G6" s="25" t="s">
        <v>16</v>
      </c>
      <c r="H6" s="17" t="s">
        <v>17</v>
      </c>
      <c r="I6" s="18" t="s">
        <v>149</v>
      </c>
      <c r="J6" s="17" t="s">
        <v>148</v>
      </c>
    </row>
    <row r="7" spans="1:10" x14ac:dyDescent="0.25">
      <c r="B7" s="135" t="s">
        <v>74</v>
      </c>
      <c r="C7" s="136"/>
      <c r="D7" s="136"/>
      <c r="E7" s="136"/>
      <c r="F7" s="19"/>
      <c r="G7" s="19"/>
      <c r="H7" s="15"/>
      <c r="I7" s="15"/>
      <c r="J7" s="15"/>
    </row>
    <row r="8" spans="1:10" hidden="1" outlineLevel="1" x14ac:dyDescent="0.25">
      <c r="B8" s="26" t="s">
        <v>177</v>
      </c>
      <c r="C8" s="41"/>
      <c r="D8" s="41"/>
      <c r="E8" s="41"/>
      <c r="F8" s="19">
        <v>11061874</v>
      </c>
      <c r="G8" s="19">
        <v>4032283</v>
      </c>
      <c r="H8" s="19">
        <f>+F8+G8</f>
        <v>15094157</v>
      </c>
      <c r="I8" s="19"/>
      <c r="J8" s="19">
        <f>+H8+I8</f>
        <v>15094157</v>
      </c>
    </row>
    <row r="9" spans="1:10" hidden="1" outlineLevel="1" x14ac:dyDescent="0.25">
      <c r="B9" s="26" t="s">
        <v>238</v>
      </c>
      <c r="C9" s="41"/>
      <c r="D9" s="41"/>
      <c r="E9" s="41"/>
      <c r="F9" s="19">
        <f>+F8</f>
        <v>11061874</v>
      </c>
      <c r="G9" s="19">
        <f>+G8</f>
        <v>4032283</v>
      </c>
      <c r="H9" s="19">
        <f t="shared" ref="H9:H141" si="0">+F9+G9</f>
        <v>15094157</v>
      </c>
      <c r="I9" s="19"/>
      <c r="J9" s="19">
        <f t="shared" ref="J9:J15" si="1">+H9+I9</f>
        <v>15094157</v>
      </c>
    </row>
    <row r="10" spans="1:10" hidden="1" outlineLevel="1" x14ac:dyDescent="0.25">
      <c r="B10" s="26" t="s">
        <v>140</v>
      </c>
      <c r="C10" s="41"/>
      <c r="D10" s="41"/>
      <c r="E10" s="41"/>
      <c r="F10" s="19"/>
      <c r="G10" s="19">
        <v>1228319</v>
      </c>
      <c r="H10" s="19">
        <f t="shared" si="0"/>
        <v>1228319</v>
      </c>
      <c r="I10" s="19"/>
      <c r="J10" s="19">
        <f t="shared" si="1"/>
        <v>1228319</v>
      </c>
    </row>
    <row r="11" spans="1:10" hidden="1" outlineLevel="1" x14ac:dyDescent="0.25">
      <c r="B11" s="26" t="s">
        <v>76</v>
      </c>
      <c r="C11" s="41"/>
      <c r="D11" s="41"/>
      <c r="E11" s="41"/>
      <c r="F11" s="19">
        <v>7077000</v>
      </c>
      <c r="G11" s="19"/>
      <c r="H11" s="19">
        <f t="shared" si="0"/>
        <v>7077000</v>
      </c>
      <c r="I11" s="19"/>
      <c r="J11" s="19">
        <f t="shared" si="1"/>
        <v>7077000</v>
      </c>
    </row>
    <row r="12" spans="1:10" hidden="1" outlineLevel="1" x14ac:dyDescent="0.25">
      <c r="B12" s="26" t="s">
        <v>77</v>
      </c>
      <c r="C12" s="41"/>
      <c r="D12" s="41"/>
      <c r="E12" s="41"/>
      <c r="F12" s="19">
        <v>5470478</v>
      </c>
      <c r="G12" s="19"/>
      <c r="H12" s="19">
        <f t="shared" si="0"/>
        <v>5470478</v>
      </c>
      <c r="I12" s="19"/>
      <c r="J12" s="19">
        <f t="shared" si="1"/>
        <v>5470478</v>
      </c>
    </row>
    <row r="13" spans="1:10" hidden="1" outlineLevel="1" x14ac:dyDescent="0.25">
      <c r="B13" s="26" t="s">
        <v>78</v>
      </c>
      <c r="C13" s="41"/>
      <c r="D13" s="41"/>
      <c r="E13" s="41"/>
      <c r="F13" s="19">
        <v>270000</v>
      </c>
      <c r="G13" s="19"/>
      <c r="H13" s="19">
        <f t="shared" si="0"/>
        <v>270000</v>
      </c>
      <c r="I13" s="19"/>
      <c r="J13" s="19">
        <f t="shared" si="1"/>
        <v>270000</v>
      </c>
    </row>
    <row r="14" spans="1:10" hidden="1" outlineLevel="1" x14ac:dyDescent="0.25">
      <c r="B14" s="26" t="s">
        <v>270</v>
      </c>
      <c r="C14" s="41"/>
      <c r="D14" s="41"/>
      <c r="E14" s="41"/>
      <c r="F14" s="19">
        <v>23879352</v>
      </c>
      <c r="G14" s="19">
        <f>+G9+G10</f>
        <v>5260602</v>
      </c>
      <c r="H14" s="19">
        <f t="shared" si="0"/>
        <v>29139954</v>
      </c>
      <c r="I14" s="19"/>
      <c r="J14" s="19">
        <f t="shared" si="1"/>
        <v>29139954</v>
      </c>
    </row>
    <row r="15" spans="1:10" hidden="1" outlineLevel="1" x14ac:dyDescent="0.25">
      <c r="B15" s="26" t="s">
        <v>191</v>
      </c>
      <c r="C15" s="41"/>
      <c r="D15" s="41"/>
      <c r="E15" s="41"/>
      <c r="F15" s="27">
        <v>0</v>
      </c>
      <c r="G15" s="27">
        <v>2340607</v>
      </c>
      <c r="H15" s="27">
        <f t="shared" si="0"/>
        <v>2340607</v>
      </c>
      <c r="I15" s="27"/>
      <c r="J15" s="27">
        <f t="shared" si="1"/>
        <v>2340607</v>
      </c>
    </row>
    <row r="16" spans="1:10" hidden="1" collapsed="1" x14ac:dyDescent="0.25">
      <c r="B16" s="26" t="s">
        <v>306</v>
      </c>
      <c r="C16" s="41"/>
      <c r="D16" s="41"/>
      <c r="E16" s="41"/>
      <c r="F16" s="23">
        <f>+F14+F15</f>
        <v>23879352</v>
      </c>
      <c r="G16" s="23">
        <f>+G14+G15</f>
        <v>7601209</v>
      </c>
      <c r="H16" s="23">
        <f>+H14+H15</f>
        <v>31480561</v>
      </c>
      <c r="I16" s="23">
        <f>+I14+I15</f>
        <v>0</v>
      </c>
      <c r="J16" s="23">
        <f>+J14+J15</f>
        <v>31480561</v>
      </c>
    </row>
    <row r="17" spans="2:10" hidden="1" x14ac:dyDescent="0.25">
      <c r="B17" s="26" t="s">
        <v>258</v>
      </c>
      <c r="C17" s="41"/>
      <c r="D17" s="41"/>
      <c r="E17" s="41"/>
      <c r="F17" s="19">
        <v>6127345</v>
      </c>
      <c r="G17" s="19">
        <v>0</v>
      </c>
      <c r="H17" s="19">
        <f>+F17+G17</f>
        <v>6127345</v>
      </c>
      <c r="I17" s="19"/>
      <c r="J17" s="19">
        <f>+H17+I17</f>
        <v>6127345</v>
      </c>
    </row>
    <row r="18" spans="2:10" hidden="1" x14ac:dyDescent="0.25">
      <c r="B18" s="26" t="s">
        <v>191</v>
      </c>
      <c r="C18" s="41"/>
      <c r="D18" s="41"/>
      <c r="E18" s="41"/>
      <c r="F18" s="27">
        <v>0</v>
      </c>
      <c r="G18" s="27">
        <v>3414354</v>
      </c>
      <c r="H18" s="19">
        <f>+F18+G18</f>
        <v>3414354</v>
      </c>
      <c r="I18" s="27"/>
      <c r="J18" s="19">
        <f>+H18+I18</f>
        <v>3414354</v>
      </c>
    </row>
    <row r="19" spans="2:10" x14ac:dyDescent="0.25">
      <c r="B19" s="26" t="s">
        <v>257</v>
      </c>
      <c r="C19" s="41"/>
      <c r="D19" s="41"/>
      <c r="E19" s="41"/>
      <c r="F19" s="49">
        <f>+F16+F17</f>
        <v>30006697</v>
      </c>
      <c r="G19" s="49">
        <f>+G16+G17+G18</f>
        <v>11015563</v>
      </c>
      <c r="H19" s="49">
        <f>+H16+H17+H18</f>
        <v>41022260</v>
      </c>
      <c r="I19" s="49"/>
      <c r="J19" s="49">
        <f>+J16+J17+J18</f>
        <v>41022260</v>
      </c>
    </row>
    <row r="20" spans="2:10" x14ac:dyDescent="0.25">
      <c r="B20" s="26" t="s">
        <v>191</v>
      </c>
      <c r="C20" s="41"/>
      <c r="D20" s="41"/>
      <c r="E20" s="41"/>
      <c r="F20" s="19">
        <v>5035990</v>
      </c>
      <c r="G20" s="19">
        <v>2143739</v>
      </c>
      <c r="H20" s="19">
        <f>+F20+G20</f>
        <v>7179729</v>
      </c>
      <c r="I20" s="19"/>
      <c r="J20" s="19">
        <f>+H20+I20</f>
        <v>7179729</v>
      </c>
    </row>
    <row r="21" spans="2:10" x14ac:dyDescent="0.25">
      <c r="B21" s="26" t="s">
        <v>305</v>
      </c>
      <c r="C21" s="41"/>
      <c r="D21" s="41"/>
      <c r="E21" s="41"/>
      <c r="F21" s="23">
        <f>SUM(F19:F20)</f>
        <v>35042687</v>
      </c>
      <c r="G21" s="23">
        <f>SUM(G19:G20)</f>
        <v>13159302</v>
      </c>
      <c r="H21" s="23">
        <f>SUM(H19:H20)</f>
        <v>48201989</v>
      </c>
      <c r="I21" s="23">
        <f>SUM(I19:I20)</f>
        <v>0</v>
      </c>
      <c r="J21" s="23">
        <f>SUM(J19:J20)</f>
        <v>48201989</v>
      </c>
    </row>
    <row r="22" spans="2:10" x14ac:dyDescent="0.25">
      <c r="B22" s="26" t="s">
        <v>191</v>
      </c>
      <c r="C22" s="41"/>
      <c r="D22" s="41"/>
      <c r="E22" s="41"/>
      <c r="F22" s="19">
        <v>2100675</v>
      </c>
      <c r="G22" s="19"/>
      <c r="H22" s="27">
        <f>+F22+G22</f>
        <v>2100675</v>
      </c>
      <c r="I22" s="19"/>
      <c r="J22" s="19">
        <f>+H22+I22</f>
        <v>2100675</v>
      </c>
    </row>
    <row r="23" spans="2:10" ht="15.75" thickBot="1" x14ac:dyDescent="0.3">
      <c r="B23" s="26" t="s">
        <v>345</v>
      </c>
      <c r="C23" s="41"/>
      <c r="D23" s="41"/>
      <c r="E23" s="41"/>
      <c r="F23" s="108">
        <f>+F21+F22</f>
        <v>37143362</v>
      </c>
      <c r="G23" s="108">
        <f t="shared" ref="G23:J23" si="2">+G21+G22</f>
        <v>13159302</v>
      </c>
      <c r="H23" s="108">
        <f t="shared" si="2"/>
        <v>50302664</v>
      </c>
      <c r="I23" s="108">
        <f t="shared" si="2"/>
        <v>0</v>
      </c>
      <c r="J23" s="108">
        <f t="shared" si="2"/>
        <v>50302664</v>
      </c>
    </row>
    <row r="24" spans="2:10" ht="15.75" thickTop="1" x14ac:dyDescent="0.25">
      <c r="B24" s="26"/>
      <c r="C24" s="41"/>
      <c r="D24" s="41"/>
      <c r="E24" s="41"/>
      <c r="F24" s="19"/>
      <c r="G24" s="19"/>
      <c r="H24" s="19"/>
      <c r="I24" s="19"/>
      <c r="J24" s="19"/>
    </row>
    <row r="25" spans="2:10" x14ac:dyDescent="0.25">
      <c r="B25" s="43" t="s">
        <v>79</v>
      </c>
      <c r="C25" s="41"/>
      <c r="D25" s="41"/>
      <c r="E25" s="41"/>
      <c r="F25" s="19"/>
      <c r="G25" s="19"/>
      <c r="H25" s="19"/>
      <c r="I25" s="19"/>
      <c r="J25" s="19"/>
    </row>
    <row r="26" spans="2:10" hidden="1" outlineLevel="1" x14ac:dyDescent="0.25">
      <c r="B26" s="26" t="s">
        <v>75</v>
      </c>
      <c r="C26" s="41"/>
      <c r="D26" s="41"/>
      <c r="E26" s="41"/>
      <c r="F26" s="39">
        <v>9572420</v>
      </c>
      <c r="G26" s="39"/>
      <c r="H26" s="39">
        <f t="shared" si="0"/>
        <v>9572420</v>
      </c>
      <c r="I26" s="39"/>
      <c r="J26" s="39">
        <f t="shared" ref="J26:J31" si="3">+H26+I26</f>
        <v>9572420</v>
      </c>
    </row>
    <row r="27" spans="2:10" hidden="1" outlineLevel="1" x14ac:dyDescent="0.25">
      <c r="B27" s="26" t="s">
        <v>144</v>
      </c>
      <c r="C27" s="41"/>
      <c r="D27" s="41"/>
      <c r="E27" s="41"/>
      <c r="F27" s="39">
        <v>1304919</v>
      </c>
      <c r="G27" s="39"/>
      <c r="H27" s="39">
        <f t="shared" si="0"/>
        <v>1304919</v>
      </c>
      <c r="I27" s="39"/>
      <c r="J27" s="39">
        <f t="shared" si="3"/>
        <v>1304919</v>
      </c>
    </row>
    <row r="28" spans="2:10" hidden="1" outlineLevel="1" x14ac:dyDescent="0.25">
      <c r="B28" s="26" t="s">
        <v>238</v>
      </c>
      <c r="C28" s="41"/>
      <c r="D28" s="41"/>
      <c r="E28" s="41"/>
      <c r="F28" s="39">
        <f>+F26+F27</f>
        <v>10877339</v>
      </c>
      <c r="G28" s="39"/>
      <c r="H28" s="39">
        <f t="shared" si="0"/>
        <v>10877339</v>
      </c>
      <c r="I28" s="39"/>
      <c r="J28" s="39">
        <f t="shared" si="3"/>
        <v>10877339</v>
      </c>
    </row>
    <row r="29" spans="2:10" hidden="1" outlineLevel="1" x14ac:dyDescent="0.25">
      <c r="B29" s="26" t="s">
        <v>134</v>
      </c>
      <c r="C29" s="41"/>
      <c r="D29" s="41"/>
      <c r="E29" s="41"/>
      <c r="F29" s="39">
        <v>-3094403</v>
      </c>
      <c r="G29" s="39"/>
      <c r="H29" s="39">
        <f t="shared" si="0"/>
        <v>-3094403</v>
      </c>
      <c r="I29" s="47"/>
      <c r="J29" s="39">
        <f t="shared" si="3"/>
        <v>-3094403</v>
      </c>
    </row>
    <row r="30" spans="2:10" hidden="1" outlineLevel="1" x14ac:dyDescent="0.25">
      <c r="B30" s="26" t="s">
        <v>76</v>
      </c>
      <c r="C30" s="41"/>
      <c r="D30" s="41"/>
      <c r="E30" s="41"/>
      <c r="F30" s="39">
        <v>-7077000</v>
      </c>
      <c r="G30" s="39"/>
      <c r="H30" s="39">
        <f t="shared" si="0"/>
        <v>-7077000</v>
      </c>
      <c r="I30" s="47"/>
      <c r="J30" s="39">
        <f t="shared" si="3"/>
        <v>-7077000</v>
      </c>
    </row>
    <row r="31" spans="2:10" hidden="1" outlineLevel="1" x14ac:dyDescent="0.25">
      <c r="B31" s="26" t="s">
        <v>270</v>
      </c>
      <c r="C31" s="41"/>
      <c r="D31" s="41"/>
      <c r="E31" s="41"/>
      <c r="F31" s="53">
        <f>SUM(F28:F30)</f>
        <v>705936</v>
      </c>
      <c r="G31" s="53">
        <v>0</v>
      </c>
      <c r="H31" s="53">
        <f t="shared" si="0"/>
        <v>705936</v>
      </c>
      <c r="I31" s="72"/>
      <c r="J31" s="53">
        <f t="shared" si="3"/>
        <v>705936</v>
      </c>
    </row>
    <row r="32" spans="2:10" hidden="1" collapsed="1" x14ac:dyDescent="0.25">
      <c r="B32" s="26" t="s">
        <v>306</v>
      </c>
      <c r="C32" s="41"/>
      <c r="D32" s="41"/>
      <c r="E32" s="41"/>
      <c r="F32" s="49">
        <f>+F31</f>
        <v>705936</v>
      </c>
      <c r="G32" s="49">
        <v>0</v>
      </c>
      <c r="H32" s="49">
        <f>+F32+G32</f>
        <v>705936</v>
      </c>
      <c r="I32" s="74"/>
      <c r="J32" s="49">
        <f>+H32+I32</f>
        <v>705936</v>
      </c>
    </row>
    <row r="33" spans="2:10" ht="42.75" hidden="1" customHeight="1" x14ac:dyDescent="0.25">
      <c r="B33" s="194" t="s">
        <v>259</v>
      </c>
      <c r="C33" s="195"/>
      <c r="D33" s="195"/>
      <c r="E33" s="196"/>
      <c r="F33" s="53">
        <v>-705016</v>
      </c>
      <c r="G33" s="53">
        <v>0</v>
      </c>
      <c r="H33" s="53">
        <f t="shared" ref="H33:H34" si="4">+F33+G33</f>
        <v>-705016</v>
      </c>
      <c r="I33" s="72"/>
      <c r="J33" s="53">
        <f t="shared" ref="J33:J34" si="5">+H33+I33</f>
        <v>-705016</v>
      </c>
    </row>
    <row r="34" spans="2:10" x14ac:dyDescent="0.25">
      <c r="B34" s="197" t="s">
        <v>257</v>
      </c>
      <c r="C34" s="198"/>
      <c r="D34" s="198"/>
      <c r="E34" s="199"/>
      <c r="F34" s="49">
        <f>+F32+F33</f>
        <v>920</v>
      </c>
      <c r="G34" s="49">
        <v>0</v>
      </c>
      <c r="H34" s="49">
        <f t="shared" si="4"/>
        <v>920</v>
      </c>
      <c r="I34" s="74"/>
      <c r="J34" s="49">
        <f t="shared" si="5"/>
        <v>920</v>
      </c>
    </row>
    <row r="35" spans="2:10" x14ac:dyDescent="0.25">
      <c r="B35" s="197" t="s">
        <v>305</v>
      </c>
      <c r="C35" s="198"/>
      <c r="D35" s="198"/>
      <c r="E35" s="199"/>
      <c r="F35" s="23">
        <f>SUM(F34:F34)</f>
        <v>920</v>
      </c>
      <c r="G35" s="23">
        <f>SUM(G34:G34)</f>
        <v>0</v>
      </c>
      <c r="H35" s="23">
        <f>SUM(H34:H34)</f>
        <v>920</v>
      </c>
      <c r="I35" s="23">
        <f>SUM(I34:I34)</f>
        <v>0</v>
      </c>
      <c r="J35" s="23">
        <f>SUM(J34:J34)</f>
        <v>920</v>
      </c>
    </row>
    <row r="36" spans="2:10" x14ac:dyDescent="0.25">
      <c r="B36" s="197" t="s">
        <v>357</v>
      </c>
      <c r="C36" s="198"/>
      <c r="D36" s="198"/>
      <c r="E36" s="199"/>
      <c r="F36" s="19">
        <v>6115000</v>
      </c>
      <c r="G36" s="19"/>
      <c r="H36" s="19">
        <f>+F36+G36</f>
        <v>6115000</v>
      </c>
      <c r="I36" s="19"/>
      <c r="J36" s="19">
        <f>+H36+I36</f>
        <v>6115000</v>
      </c>
    </row>
    <row r="37" spans="2:10" ht="15.75" thickBot="1" x14ac:dyDescent="0.3">
      <c r="B37" s="26" t="s">
        <v>345</v>
      </c>
      <c r="C37" s="41"/>
      <c r="D37" s="41"/>
      <c r="E37" s="41"/>
      <c r="F37" s="108">
        <f>+F35+F36</f>
        <v>6115920</v>
      </c>
      <c r="G37" s="108">
        <f t="shared" ref="G37:J37" si="6">+G35+G36</f>
        <v>0</v>
      </c>
      <c r="H37" s="108">
        <f t="shared" si="6"/>
        <v>6115920</v>
      </c>
      <c r="I37" s="108">
        <f t="shared" si="6"/>
        <v>0</v>
      </c>
      <c r="J37" s="108">
        <f t="shared" si="6"/>
        <v>6115920</v>
      </c>
    </row>
    <row r="38" spans="2:10" ht="15.75" thickTop="1" x14ac:dyDescent="0.25">
      <c r="B38" s="26"/>
      <c r="C38" s="41"/>
      <c r="D38" s="41"/>
      <c r="E38" s="41"/>
      <c r="F38" s="19"/>
      <c r="G38" s="19"/>
      <c r="H38" s="19"/>
      <c r="I38" s="19"/>
      <c r="J38" s="19"/>
    </row>
    <row r="39" spans="2:10" x14ac:dyDescent="0.25">
      <c r="B39" s="43" t="s">
        <v>135</v>
      </c>
      <c r="C39" s="41"/>
      <c r="D39" s="41"/>
      <c r="E39" s="41"/>
      <c r="F39" s="39"/>
      <c r="G39" s="39"/>
      <c r="H39" s="39"/>
      <c r="I39" s="47"/>
      <c r="J39" s="47"/>
    </row>
    <row r="40" spans="2:10" hidden="1" outlineLevel="1" x14ac:dyDescent="0.25">
      <c r="B40" s="26" t="s">
        <v>75</v>
      </c>
      <c r="C40" s="41"/>
      <c r="D40" s="41"/>
      <c r="E40" s="41"/>
      <c r="F40" s="39">
        <v>570206</v>
      </c>
      <c r="G40" s="39">
        <v>516352</v>
      </c>
      <c r="H40" s="39">
        <f t="shared" si="0"/>
        <v>1086558</v>
      </c>
      <c r="I40" s="47"/>
      <c r="J40" s="92">
        <f t="shared" ref="J40:J47" si="7">+H40+I40</f>
        <v>1086558</v>
      </c>
    </row>
    <row r="41" spans="2:10" hidden="1" outlineLevel="1" x14ac:dyDescent="0.25">
      <c r="B41" s="26" t="s">
        <v>139</v>
      </c>
      <c r="C41" s="41"/>
      <c r="D41" s="41"/>
      <c r="E41" s="41"/>
      <c r="F41" s="39">
        <v>359244</v>
      </c>
      <c r="G41" s="39"/>
      <c r="H41" s="39">
        <f t="shared" si="0"/>
        <v>359244</v>
      </c>
      <c r="I41" s="47"/>
      <c r="J41" s="39">
        <f t="shared" si="7"/>
        <v>359244</v>
      </c>
    </row>
    <row r="42" spans="2:10" hidden="1" outlineLevel="1" x14ac:dyDescent="0.25">
      <c r="B42" s="26" t="s">
        <v>238</v>
      </c>
      <c r="C42" s="41"/>
      <c r="D42" s="41"/>
      <c r="E42" s="41"/>
      <c r="F42" s="39">
        <f>+F41+F40</f>
        <v>929450</v>
      </c>
      <c r="G42" s="39">
        <f>+G40+G41</f>
        <v>516352</v>
      </c>
      <c r="H42" s="39">
        <f t="shared" si="0"/>
        <v>1445802</v>
      </c>
      <c r="I42" s="47"/>
      <c r="J42" s="39">
        <f t="shared" si="7"/>
        <v>1445802</v>
      </c>
    </row>
    <row r="43" spans="2:10" hidden="1" outlineLevel="1" x14ac:dyDescent="0.25">
      <c r="B43" s="26" t="s">
        <v>192</v>
      </c>
      <c r="C43" s="41"/>
      <c r="D43" s="41"/>
      <c r="E43" s="41"/>
      <c r="F43" s="39">
        <v>1710803</v>
      </c>
      <c r="G43" s="39">
        <v>136481</v>
      </c>
      <c r="H43" s="39">
        <f t="shared" si="0"/>
        <v>1847284</v>
      </c>
      <c r="I43" s="47"/>
      <c r="J43" s="39">
        <f t="shared" si="7"/>
        <v>1847284</v>
      </c>
    </row>
    <row r="44" spans="2:10" hidden="1" outlineLevel="1" x14ac:dyDescent="0.25">
      <c r="B44" s="26" t="s">
        <v>270</v>
      </c>
      <c r="C44" s="41"/>
      <c r="D44" s="41"/>
      <c r="E44" s="41"/>
      <c r="F44" s="39">
        <f>+F43+F42</f>
        <v>2640253</v>
      </c>
      <c r="G44" s="39">
        <f>+G43+G42</f>
        <v>652833</v>
      </c>
      <c r="H44" s="39">
        <f t="shared" si="0"/>
        <v>3293086</v>
      </c>
      <c r="I44" s="47"/>
      <c r="J44" s="39">
        <f t="shared" si="7"/>
        <v>3293086</v>
      </c>
    </row>
    <row r="45" spans="2:10" hidden="1" outlineLevel="1" x14ac:dyDescent="0.25">
      <c r="B45" s="26" t="s">
        <v>271</v>
      </c>
      <c r="C45" s="41"/>
      <c r="D45" s="41"/>
      <c r="E45" s="41"/>
      <c r="F45" s="49">
        <f>+F44</f>
        <v>2640253</v>
      </c>
      <c r="G45" s="49">
        <f t="shared" ref="G45:J45" si="8">+G44</f>
        <v>652833</v>
      </c>
      <c r="H45" s="49">
        <f t="shared" si="8"/>
        <v>3293086</v>
      </c>
      <c r="I45" s="49">
        <f t="shared" si="8"/>
        <v>0</v>
      </c>
      <c r="J45" s="49">
        <f t="shared" si="8"/>
        <v>3293086</v>
      </c>
    </row>
    <row r="46" spans="2:10" hidden="1" outlineLevel="1" x14ac:dyDescent="0.25">
      <c r="B46" s="26" t="s">
        <v>192</v>
      </c>
      <c r="C46" s="41"/>
      <c r="D46" s="41"/>
      <c r="E46" s="41"/>
      <c r="F46" s="149">
        <v>1341885</v>
      </c>
      <c r="G46" s="149">
        <v>260067</v>
      </c>
      <c r="H46" s="39">
        <f t="shared" si="0"/>
        <v>1601952</v>
      </c>
      <c r="I46" s="47"/>
      <c r="J46" s="39">
        <f t="shared" si="7"/>
        <v>1601952</v>
      </c>
    </row>
    <row r="47" spans="2:10" hidden="1" outlineLevel="1" x14ac:dyDescent="0.25">
      <c r="B47" s="147" t="s">
        <v>317</v>
      </c>
      <c r="C47" s="41"/>
      <c r="D47" s="41"/>
      <c r="E47" s="41"/>
      <c r="F47" s="39"/>
      <c r="G47" s="148">
        <v>379372</v>
      </c>
      <c r="H47" s="39">
        <f t="shared" si="0"/>
        <v>379372</v>
      </c>
      <c r="I47" s="47"/>
      <c r="J47" s="39">
        <f t="shared" si="7"/>
        <v>379372</v>
      </c>
    </row>
    <row r="48" spans="2:10" hidden="1" collapsed="1" x14ac:dyDescent="0.25">
      <c r="B48" s="26" t="s">
        <v>200</v>
      </c>
      <c r="C48" s="41"/>
      <c r="D48" s="41"/>
      <c r="E48" s="41"/>
      <c r="F48" s="49">
        <f>+F44+F46</f>
        <v>3982138</v>
      </c>
      <c r="G48" s="49">
        <f>+G45+G46+G47</f>
        <v>1292272</v>
      </c>
      <c r="H48" s="49">
        <f>+H45+H46+H47</f>
        <v>5274410</v>
      </c>
      <c r="I48" s="49">
        <f>+I44+I46</f>
        <v>0</v>
      </c>
      <c r="J48" s="49">
        <f>+J45+J46+J47</f>
        <v>5274410</v>
      </c>
    </row>
    <row r="49" spans="2:11" hidden="1" x14ac:dyDescent="0.25">
      <c r="B49" s="26" t="s">
        <v>261</v>
      </c>
      <c r="C49" s="41"/>
      <c r="D49" s="41"/>
      <c r="E49" s="41"/>
      <c r="F49" s="39">
        <v>680816</v>
      </c>
      <c r="G49" s="39">
        <v>259368</v>
      </c>
      <c r="H49" s="39">
        <f>+F49+G49</f>
        <v>940184</v>
      </c>
      <c r="I49" s="39"/>
      <c r="J49" s="39">
        <f>+H49+I49</f>
        <v>940184</v>
      </c>
    </row>
    <row r="50" spans="2:11" x14ac:dyDescent="0.25">
      <c r="B50" s="26" t="s">
        <v>260</v>
      </c>
      <c r="C50" s="41"/>
      <c r="D50" s="41"/>
      <c r="E50" s="41"/>
      <c r="F50" s="49">
        <f>+F48+F49</f>
        <v>4662954</v>
      </c>
      <c r="G50" s="49">
        <f>+G48+G49</f>
        <v>1551640</v>
      </c>
      <c r="H50" s="49">
        <f>+H48+H49</f>
        <v>6214594</v>
      </c>
      <c r="I50" s="49"/>
      <c r="J50" s="49">
        <f>+J48+J49</f>
        <v>6214594</v>
      </c>
    </row>
    <row r="51" spans="2:11" x14ac:dyDescent="0.25">
      <c r="B51" s="26" t="s">
        <v>313</v>
      </c>
      <c r="C51" s="41"/>
      <c r="D51" s="41"/>
      <c r="E51" s="137"/>
      <c r="F51" s="39">
        <v>559554.55999999959</v>
      </c>
      <c r="G51" s="39"/>
      <c r="H51" s="39">
        <f>+F51+G51</f>
        <v>559554.55999999959</v>
      </c>
      <c r="I51" s="47"/>
      <c r="J51" s="92">
        <f>+H51+I51</f>
        <v>559554.55999999959</v>
      </c>
    </row>
    <row r="52" spans="2:11" x14ac:dyDescent="0.25">
      <c r="B52" s="26" t="s">
        <v>305</v>
      </c>
      <c r="C52" s="41"/>
      <c r="D52" s="41"/>
      <c r="E52" s="41"/>
      <c r="F52" s="23">
        <f>SUM(F50:F51)</f>
        <v>5222508.5599999996</v>
      </c>
      <c r="G52" s="23">
        <f>SUM(G50:G51)</f>
        <v>1551640</v>
      </c>
      <c r="H52" s="23">
        <f>SUM(H50:H51)</f>
        <v>6774148.5599999996</v>
      </c>
      <c r="I52" s="23">
        <f>SUM(I50:I51)</f>
        <v>0</v>
      </c>
      <c r="J52" s="23">
        <f>SUM(J50:J51)</f>
        <v>6774148.5599999996</v>
      </c>
      <c r="K52" s="38"/>
    </row>
    <row r="53" spans="2:11" x14ac:dyDescent="0.25">
      <c r="B53" s="26" t="s">
        <v>192</v>
      </c>
      <c r="C53" s="41"/>
      <c r="D53" s="41"/>
      <c r="E53" s="41"/>
      <c r="F53" s="19">
        <v>912852</v>
      </c>
      <c r="G53" s="19">
        <v>374781</v>
      </c>
      <c r="H53" s="19">
        <f>+F53+G53</f>
        <v>1287633</v>
      </c>
      <c r="I53" s="19"/>
      <c r="J53" s="19">
        <f>+H53+I53</f>
        <v>1287633</v>
      </c>
      <c r="K53" s="38"/>
    </row>
    <row r="54" spans="2:11" ht="15.75" thickBot="1" x14ac:dyDescent="0.3">
      <c r="B54" s="26" t="s">
        <v>345</v>
      </c>
      <c r="C54" s="41"/>
      <c r="D54" s="41"/>
      <c r="E54" s="41"/>
      <c r="F54" s="108">
        <f>+F52+F53</f>
        <v>6135360.5599999996</v>
      </c>
      <c r="G54" s="108">
        <f>+G52+G53</f>
        <v>1926421</v>
      </c>
      <c r="H54" s="108">
        <f t="shared" ref="H54:J54" si="9">+H52+H53</f>
        <v>8061781.5599999996</v>
      </c>
      <c r="I54" s="108">
        <f t="shared" si="9"/>
        <v>0</v>
      </c>
      <c r="J54" s="108">
        <f t="shared" si="9"/>
        <v>8061781.5599999996</v>
      </c>
      <c r="K54" s="38"/>
    </row>
    <row r="55" spans="2:11" ht="15.75" thickTop="1" x14ac:dyDescent="0.25">
      <c r="B55" s="26"/>
      <c r="C55" s="41"/>
      <c r="D55" s="41"/>
      <c r="E55" s="137"/>
      <c r="F55" s="39"/>
      <c r="G55" s="39"/>
      <c r="H55" s="39"/>
      <c r="I55" s="47"/>
      <c r="J55" s="47"/>
    </row>
    <row r="56" spans="2:11" x14ac:dyDescent="0.25">
      <c r="B56" s="43" t="s">
        <v>136</v>
      </c>
      <c r="C56" s="41"/>
      <c r="D56" s="41"/>
      <c r="E56" s="41"/>
      <c r="F56" s="39"/>
      <c r="G56" s="39"/>
      <c r="H56" s="39">
        <f t="shared" si="0"/>
        <v>0</v>
      </c>
      <c r="I56" s="47"/>
      <c r="J56" s="47"/>
    </row>
    <row r="57" spans="2:11" hidden="1" outlineLevel="1" x14ac:dyDescent="0.25">
      <c r="B57" s="26" t="s">
        <v>268</v>
      </c>
      <c r="C57" s="41"/>
      <c r="D57" s="41"/>
      <c r="E57" s="41"/>
      <c r="F57" s="53">
        <v>34797</v>
      </c>
      <c r="G57" s="53">
        <v>14436</v>
      </c>
      <c r="H57" s="53">
        <f t="shared" si="0"/>
        <v>49233</v>
      </c>
      <c r="I57" s="72"/>
      <c r="J57" s="53">
        <f t="shared" ref="J57:J62" si="10">+H57+I57</f>
        <v>49233</v>
      </c>
    </row>
    <row r="58" spans="2:11" hidden="1" outlineLevel="1" x14ac:dyDescent="0.25">
      <c r="B58" s="26" t="s">
        <v>269</v>
      </c>
      <c r="C58" s="41"/>
      <c r="D58" s="41"/>
      <c r="E58" s="41"/>
      <c r="F58" s="48">
        <f t="shared" ref="F58:G61" si="11">+F57</f>
        <v>34797</v>
      </c>
      <c r="G58" s="48">
        <f t="shared" si="11"/>
        <v>14436</v>
      </c>
      <c r="H58" s="48">
        <f t="shared" si="0"/>
        <v>49233</v>
      </c>
      <c r="I58" s="73"/>
      <c r="J58" s="48">
        <f t="shared" si="10"/>
        <v>49233</v>
      </c>
    </row>
    <row r="59" spans="2:11" hidden="1" collapsed="1" x14ac:dyDescent="0.25">
      <c r="B59" s="26" t="s">
        <v>200</v>
      </c>
      <c r="C59" s="41"/>
      <c r="D59" s="41"/>
      <c r="E59" s="41"/>
      <c r="F59" s="48">
        <f t="shared" si="11"/>
        <v>34797</v>
      </c>
      <c r="G59" s="48">
        <f t="shared" si="11"/>
        <v>14436</v>
      </c>
      <c r="H59" s="48">
        <f t="shared" si="0"/>
        <v>49233</v>
      </c>
      <c r="I59" s="73"/>
      <c r="J59" s="48">
        <f t="shared" si="10"/>
        <v>49233</v>
      </c>
    </row>
    <row r="60" spans="2:11" x14ac:dyDescent="0.25">
      <c r="B60" s="26" t="s">
        <v>257</v>
      </c>
      <c r="C60" s="41"/>
      <c r="D60" s="41"/>
      <c r="E60" s="41"/>
      <c r="F60" s="48">
        <f t="shared" si="11"/>
        <v>34797</v>
      </c>
      <c r="G60" s="48">
        <f t="shared" si="11"/>
        <v>14436</v>
      </c>
      <c r="H60" s="48">
        <f t="shared" si="0"/>
        <v>49233</v>
      </c>
      <c r="I60" s="73"/>
      <c r="J60" s="48">
        <f t="shared" si="10"/>
        <v>49233</v>
      </c>
    </row>
    <row r="61" spans="2:11" x14ac:dyDescent="0.25">
      <c r="B61" s="26" t="s">
        <v>305</v>
      </c>
      <c r="C61" s="41"/>
      <c r="D61" s="41"/>
      <c r="E61" s="41"/>
      <c r="F61" s="39">
        <f t="shared" si="11"/>
        <v>34797</v>
      </c>
      <c r="G61" s="39">
        <f t="shared" si="11"/>
        <v>14436</v>
      </c>
      <c r="H61" s="39">
        <f t="shared" ref="H61:H62" si="12">+F61+G61</f>
        <v>49233</v>
      </c>
      <c r="I61" s="47"/>
      <c r="J61" s="39">
        <f t="shared" si="10"/>
        <v>49233</v>
      </c>
    </row>
    <row r="62" spans="2:11" ht="15.75" thickBot="1" x14ac:dyDescent="0.3">
      <c r="B62" s="26" t="s">
        <v>345</v>
      </c>
      <c r="C62" s="41"/>
      <c r="D62" s="41"/>
      <c r="E62" s="41"/>
      <c r="F62" s="106">
        <f>+F61</f>
        <v>34797</v>
      </c>
      <c r="G62" s="106">
        <f>+G61</f>
        <v>14436</v>
      </c>
      <c r="H62" s="106">
        <f t="shared" si="12"/>
        <v>49233</v>
      </c>
      <c r="I62" s="107"/>
      <c r="J62" s="106">
        <f t="shared" si="10"/>
        <v>49233</v>
      </c>
    </row>
    <row r="63" spans="2:11" ht="15.75" thickTop="1" x14ac:dyDescent="0.25">
      <c r="B63" s="150" t="s">
        <v>319</v>
      </c>
      <c r="C63" s="153"/>
      <c r="D63" s="153"/>
      <c r="E63" s="153"/>
      <c r="F63" s="151">
        <f>+F61+F52</f>
        <v>5257305.5599999996</v>
      </c>
      <c r="G63" s="151">
        <f t="shared" ref="G63:J63" si="13">+G61+G52</f>
        <v>1566076</v>
      </c>
      <c r="H63" s="151">
        <f t="shared" si="13"/>
        <v>6823381.5599999996</v>
      </c>
      <c r="I63" s="151">
        <f t="shared" si="13"/>
        <v>0</v>
      </c>
      <c r="J63" s="151">
        <f t="shared" si="13"/>
        <v>6823381.5599999996</v>
      </c>
    </row>
    <row r="64" spans="2:11" x14ac:dyDescent="0.25">
      <c r="B64" s="26"/>
      <c r="C64" s="41"/>
      <c r="D64" s="41"/>
      <c r="E64" s="41"/>
      <c r="F64" s="39"/>
      <c r="G64" s="39"/>
      <c r="H64" s="39">
        <f t="shared" si="0"/>
        <v>0</v>
      </c>
      <c r="I64" s="47"/>
      <c r="J64" s="47"/>
    </row>
    <row r="65" spans="2:10" x14ac:dyDescent="0.25">
      <c r="B65" s="43" t="s">
        <v>193</v>
      </c>
      <c r="C65" s="41"/>
      <c r="D65" s="41"/>
      <c r="E65" s="41"/>
      <c r="F65" s="39"/>
      <c r="G65" s="39"/>
      <c r="H65" s="39">
        <f t="shared" si="0"/>
        <v>0</v>
      </c>
      <c r="I65" s="47"/>
      <c r="J65" s="47"/>
    </row>
    <row r="66" spans="2:10" hidden="1" outlineLevel="1" x14ac:dyDescent="0.25">
      <c r="B66" s="26" t="s">
        <v>268</v>
      </c>
      <c r="C66" s="41"/>
      <c r="D66" s="41"/>
      <c r="E66" s="41"/>
      <c r="F66" s="53">
        <v>227072</v>
      </c>
      <c r="G66" s="53">
        <v>85174</v>
      </c>
      <c r="H66" s="53">
        <f t="shared" si="0"/>
        <v>312246</v>
      </c>
      <c r="I66" s="72"/>
      <c r="J66" s="53">
        <f t="shared" ref="J66:J71" si="14">+H66+I66</f>
        <v>312246</v>
      </c>
    </row>
    <row r="67" spans="2:10" hidden="1" outlineLevel="1" x14ac:dyDescent="0.25">
      <c r="B67" s="26" t="s">
        <v>269</v>
      </c>
      <c r="C67" s="41"/>
      <c r="D67" s="41"/>
      <c r="E67" s="41"/>
      <c r="F67" s="48">
        <f t="shared" ref="F67:G70" si="15">+F66</f>
        <v>227072</v>
      </c>
      <c r="G67" s="48">
        <f t="shared" si="15"/>
        <v>85174</v>
      </c>
      <c r="H67" s="48">
        <f t="shared" si="0"/>
        <v>312246</v>
      </c>
      <c r="I67" s="73"/>
      <c r="J67" s="48">
        <f t="shared" si="14"/>
        <v>312246</v>
      </c>
    </row>
    <row r="68" spans="2:10" hidden="1" collapsed="1" x14ac:dyDescent="0.25">
      <c r="B68" s="26" t="s">
        <v>200</v>
      </c>
      <c r="C68" s="41"/>
      <c r="D68" s="41"/>
      <c r="E68" s="41"/>
      <c r="F68" s="48">
        <f t="shared" si="15"/>
        <v>227072</v>
      </c>
      <c r="G68" s="48">
        <f t="shared" si="15"/>
        <v>85174</v>
      </c>
      <c r="H68" s="48">
        <f t="shared" si="0"/>
        <v>312246</v>
      </c>
      <c r="I68" s="73"/>
      <c r="J68" s="48">
        <f t="shared" si="14"/>
        <v>312246</v>
      </c>
    </row>
    <row r="69" spans="2:10" x14ac:dyDescent="0.25">
      <c r="B69" s="26" t="s">
        <v>260</v>
      </c>
      <c r="C69" s="41"/>
      <c r="D69" s="41"/>
      <c r="E69" s="41"/>
      <c r="F69" s="48">
        <f t="shared" si="15"/>
        <v>227072</v>
      </c>
      <c r="G69" s="48">
        <f t="shared" si="15"/>
        <v>85174</v>
      </c>
      <c r="H69" s="48">
        <f t="shared" si="0"/>
        <v>312246</v>
      </c>
      <c r="I69" s="73"/>
      <c r="J69" s="48">
        <f t="shared" si="14"/>
        <v>312246</v>
      </c>
    </row>
    <row r="70" spans="2:10" x14ac:dyDescent="0.25">
      <c r="B70" s="26" t="s">
        <v>307</v>
      </c>
      <c r="C70" s="41"/>
      <c r="D70" s="41"/>
      <c r="E70" s="41"/>
      <c r="F70" s="49">
        <f t="shared" si="15"/>
        <v>227072</v>
      </c>
      <c r="G70" s="49">
        <f t="shared" si="15"/>
        <v>85174</v>
      </c>
      <c r="H70" s="49">
        <f t="shared" ref="H70" si="16">+F70+G70</f>
        <v>312246</v>
      </c>
      <c r="I70" s="49"/>
      <c r="J70" s="49">
        <f t="shared" si="14"/>
        <v>312246</v>
      </c>
    </row>
    <row r="71" spans="2:10" ht="15.75" thickBot="1" x14ac:dyDescent="0.3">
      <c r="B71" s="26" t="s">
        <v>346</v>
      </c>
      <c r="C71" s="41"/>
      <c r="D71" s="41"/>
      <c r="E71" s="41"/>
      <c r="F71" s="106">
        <f>+F70</f>
        <v>227072</v>
      </c>
      <c r="G71" s="106">
        <f>+G70</f>
        <v>85174</v>
      </c>
      <c r="H71" s="106">
        <f>+F71+G71</f>
        <v>312246</v>
      </c>
      <c r="I71" s="106"/>
      <c r="J71" s="106">
        <f t="shared" si="14"/>
        <v>312246</v>
      </c>
    </row>
    <row r="72" spans="2:10" ht="15.75" thickTop="1" x14ac:dyDescent="0.25">
      <c r="B72" s="26"/>
      <c r="C72" s="41"/>
      <c r="D72" s="41"/>
      <c r="E72" s="41"/>
      <c r="F72" s="39"/>
      <c r="G72" s="39"/>
      <c r="H72" s="39"/>
      <c r="I72" s="47"/>
      <c r="J72" s="47"/>
    </row>
    <row r="73" spans="2:10" x14ac:dyDescent="0.25">
      <c r="B73" s="43" t="s">
        <v>231</v>
      </c>
      <c r="C73" s="41"/>
      <c r="D73" s="41"/>
      <c r="E73" s="41"/>
      <c r="F73" s="39"/>
      <c r="G73" s="39"/>
      <c r="H73" s="39">
        <f t="shared" si="0"/>
        <v>0</v>
      </c>
      <c r="I73" s="47"/>
      <c r="J73" s="47"/>
    </row>
    <row r="74" spans="2:10" hidden="1" outlineLevel="1" x14ac:dyDescent="0.25">
      <c r="B74" s="26" t="s">
        <v>177</v>
      </c>
      <c r="C74" s="41"/>
      <c r="D74" s="41"/>
      <c r="E74" s="41"/>
      <c r="F74" s="53">
        <v>-3202431</v>
      </c>
      <c r="G74" s="53">
        <v>-24915</v>
      </c>
      <c r="H74" s="53">
        <f t="shared" si="0"/>
        <v>-3227346</v>
      </c>
      <c r="I74" s="72"/>
      <c r="J74" s="53">
        <f>+H74+I74</f>
        <v>-3227346</v>
      </c>
    </row>
    <row r="75" spans="2:10" hidden="1" outlineLevel="1" x14ac:dyDescent="0.25">
      <c r="B75" s="26" t="s">
        <v>178</v>
      </c>
      <c r="C75" s="41"/>
      <c r="D75" s="41"/>
      <c r="E75" s="41"/>
      <c r="F75" s="48">
        <f t="shared" ref="F75:G78" si="17">+F74</f>
        <v>-3202431</v>
      </c>
      <c r="G75" s="48">
        <f t="shared" si="17"/>
        <v>-24915</v>
      </c>
      <c r="H75" s="48">
        <f t="shared" si="0"/>
        <v>-3227346</v>
      </c>
      <c r="I75" s="73"/>
      <c r="J75" s="48">
        <f>+H75+I75</f>
        <v>-3227346</v>
      </c>
    </row>
    <row r="76" spans="2:10" hidden="1" collapsed="1" x14ac:dyDescent="0.25">
      <c r="B76" s="26" t="s">
        <v>200</v>
      </c>
      <c r="C76" s="41"/>
      <c r="D76" s="41"/>
      <c r="E76" s="41"/>
      <c r="F76" s="48">
        <f t="shared" si="17"/>
        <v>-3202431</v>
      </c>
      <c r="G76" s="48">
        <f t="shared" si="17"/>
        <v>-24915</v>
      </c>
      <c r="H76" s="48">
        <f t="shared" si="0"/>
        <v>-3227346</v>
      </c>
      <c r="I76" s="73"/>
      <c r="J76" s="48">
        <f>+H76+I76</f>
        <v>-3227346</v>
      </c>
    </row>
    <row r="77" spans="2:10" x14ac:dyDescent="0.25">
      <c r="B77" s="26" t="s">
        <v>260</v>
      </c>
      <c r="C77" s="41"/>
      <c r="D77" s="41"/>
      <c r="E77" s="41"/>
      <c r="F77" s="49">
        <f t="shared" si="17"/>
        <v>-3202431</v>
      </c>
      <c r="G77" s="49">
        <f t="shared" si="17"/>
        <v>-24915</v>
      </c>
      <c r="H77" s="48">
        <f t="shared" si="0"/>
        <v>-3227346</v>
      </c>
      <c r="I77" s="74"/>
      <c r="J77" s="48">
        <f>+H77+I77</f>
        <v>-3227346</v>
      </c>
    </row>
    <row r="78" spans="2:10" x14ac:dyDescent="0.25">
      <c r="B78" s="26" t="s">
        <v>307</v>
      </c>
      <c r="C78" s="41"/>
      <c r="D78" s="41"/>
      <c r="E78" s="41"/>
      <c r="F78" s="48">
        <f t="shared" si="17"/>
        <v>-3202431</v>
      </c>
      <c r="G78" s="48">
        <f t="shared" si="17"/>
        <v>-24915</v>
      </c>
      <c r="H78" s="48">
        <f t="shared" ref="H78" si="18">+F78+G78</f>
        <v>-3227346</v>
      </c>
      <c r="I78" s="73"/>
      <c r="J78" s="48">
        <f>+H78+I78</f>
        <v>-3227346</v>
      </c>
    </row>
    <row r="79" spans="2:10" ht="15.75" thickBot="1" x14ac:dyDescent="0.3">
      <c r="B79" s="26" t="s">
        <v>346</v>
      </c>
      <c r="C79" s="41"/>
      <c r="D79" s="41"/>
      <c r="E79" s="41"/>
      <c r="F79" s="106">
        <f>+F78</f>
        <v>-3202431</v>
      </c>
      <c r="G79" s="106">
        <f>+G78</f>
        <v>-24915</v>
      </c>
      <c r="H79" s="106">
        <f t="shared" ref="H79:J79" si="19">+H78</f>
        <v>-3227346</v>
      </c>
      <c r="I79" s="106">
        <f t="shared" si="19"/>
        <v>0</v>
      </c>
      <c r="J79" s="106">
        <f t="shared" si="19"/>
        <v>-3227346</v>
      </c>
    </row>
    <row r="80" spans="2:10" ht="15.75" thickTop="1" x14ac:dyDescent="0.25">
      <c r="B80" s="26"/>
      <c r="C80" s="41"/>
      <c r="D80" s="41"/>
      <c r="E80" s="41"/>
      <c r="F80" s="39"/>
      <c r="G80" s="39"/>
      <c r="H80" s="39">
        <f t="shared" si="0"/>
        <v>0</v>
      </c>
      <c r="I80" s="47"/>
      <c r="J80" s="47"/>
    </row>
    <row r="81" spans="2:10" x14ac:dyDescent="0.25">
      <c r="B81" s="43" t="s">
        <v>141</v>
      </c>
      <c r="C81" s="41"/>
      <c r="D81" s="41"/>
      <c r="E81" s="41"/>
      <c r="F81" s="39"/>
      <c r="G81" s="39"/>
      <c r="H81" s="39">
        <f t="shared" si="0"/>
        <v>0</v>
      </c>
      <c r="I81" s="47"/>
      <c r="J81" s="47"/>
    </row>
    <row r="82" spans="2:10" hidden="1" outlineLevel="1" x14ac:dyDescent="0.25">
      <c r="B82" s="26" t="s">
        <v>177</v>
      </c>
      <c r="C82" s="41"/>
      <c r="D82" s="41"/>
      <c r="E82" s="41"/>
      <c r="F82" s="39"/>
      <c r="G82" s="19"/>
      <c r="H82" s="19"/>
      <c r="I82" s="15"/>
      <c r="J82" s="15"/>
    </row>
    <row r="83" spans="2:10" hidden="1" outlineLevel="1" x14ac:dyDescent="0.25">
      <c r="B83" s="26" t="s">
        <v>176</v>
      </c>
      <c r="C83" s="41"/>
      <c r="D83" s="41"/>
      <c r="E83" s="41"/>
      <c r="F83" s="39"/>
      <c r="G83" s="19">
        <v>-164317</v>
      </c>
      <c r="H83" s="19">
        <f>F83+G83</f>
        <v>-164317</v>
      </c>
      <c r="I83" s="15"/>
      <c r="J83" s="15"/>
    </row>
    <row r="84" spans="2:10" hidden="1" outlineLevel="1" x14ac:dyDescent="0.25">
      <c r="B84" s="138" t="s">
        <v>175</v>
      </c>
      <c r="C84" s="41"/>
      <c r="D84" s="41"/>
      <c r="E84" s="41"/>
      <c r="F84" s="39">
        <v>0</v>
      </c>
      <c r="G84" s="39">
        <v>-164317</v>
      </c>
      <c r="H84" s="39">
        <f>F84+G84</f>
        <v>-164317</v>
      </c>
      <c r="I84" s="47"/>
      <c r="J84" s="39">
        <f t="shared" ref="J84:J90" si="20">+H84+I84</f>
        <v>-164317</v>
      </c>
    </row>
    <row r="85" spans="2:10" hidden="1" outlineLevel="1" x14ac:dyDescent="0.25">
      <c r="B85" s="26" t="s">
        <v>179</v>
      </c>
      <c r="C85" s="41"/>
      <c r="D85" s="41"/>
      <c r="E85" s="41"/>
      <c r="F85" s="53">
        <v>0</v>
      </c>
      <c r="G85" s="53">
        <v>44500</v>
      </c>
      <c r="H85" s="53">
        <f t="shared" si="0"/>
        <v>44500</v>
      </c>
      <c r="I85" s="72"/>
      <c r="J85" s="53">
        <f t="shared" si="20"/>
        <v>44500</v>
      </c>
    </row>
    <row r="86" spans="2:10" hidden="1" outlineLevel="1" x14ac:dyDescent="0.25">
      <c r="B86" s="26" t="s">
        <v>268</v>
      </c>
      <c r="C86" s="41"/>
      <c r="D86" s="41"/>
      <c r="E86" s="41"/>
      <c r="F86" s="49">
        <v>0</v>
      </c>
      <c r="G86" s="49">
        <f>G84+G85</f>
        <v>-119817</v>
      </c>
      <c r="H86" s="49">
        <f t="shared" si="0"/>
        <v>-119817</v>
      </c>
      <c r="I86" s="74"/>
      <c r="J86" s="49">
        <f t="shared" si="20"/>
        <v>-119817</v>
      </c>
    </row>
    <row r="87" spans="2:10" hidden="1" outlineLevel="1" x14ac:dyDescent="0.25">
      <c r="B87" s="26" t="s">
        <v>179</v>
      </c>
      <c r="C87" s="41"/>
      <c r="D87" s="41"/>
      <c r="E87" s="41"/>
      <c r="F87" s="53">
        <v>0</v>
      </c>
      <c r="G87" s="53">
        <v>16673</v>
      </c>
      <c r="H87" s="53">
        <v>16673</v>
      </c>
      <c r="I87" s="72"/>
      <c r="J87" s="53">
        <f t="shared" si="20"/>
        <v>16673</v>
      </c>
    </row>
    <row r="88" spans="2:10" hidden="1" collapsed="1" x14ac:dyDescent="0.25">
      <c r="B88" s="26" t="s">
        <v>200</v>
      </c>
      <c r="C88" s="41"/>
      <c r="D88" s="41"/>
      <c r="E88" s="41"/>
      <c r="F88" s="157">
        <v>-495802</v>
      </c>
      <c r="G88" s="49">
        <f>G86+G87</f>
        <v>-103144</v>
      </c>
      <c r="H88" s="49">
        <f>+F88+G88</f>
        <v>-598946</v>
      </c>
      <c r="I88" s="74"/>
      <c r="J88" s="49">
        <f t="shared" si="20"/>
        <v>-598946</v>
      </c>
    </row>
    <row r="89" spans="2:10" hidden="1" x14ac:dyDescent="0.25">
      <c r="B89" s="26" t="s">
        <v>179</v>
      </c>
      <c r="C89" s="41"/>
      <c r="D89" s="41"/>
      <c r="E89" s="41"/>
      <c r="F89" s="155">
        <v>1849659</v>
      </c>
      <c r="G89" s="53">
        <v>-26254</v>
      </c>
      <c r="H89" s="53">
        <f t="shared" ref="H89:H92" si="21">+F89+G89</f>
        <v>1823405</v>
      </c>
      <c r="I89" s="72"/>
      <c r="J89" s="53">
        <f t="shared" si="20"/>
        <v>1823405</v>
      </c>
    </row>
    <row r="90" spans="2:10" x14ac:dyDescent="0.25">
      <c r="B90" s="26" t="s">
        <v>260</v>
      </c>
      <c r="C90" s="41"/>
      <c r="D90" s="41"/>
      <c r="E90" s="41"/>
      <c r="F90" s="157">
        <f>+F88+F89</f>
        <v>1353857</v>
      </c>
      <c r="G90" s="49">
        <f>+G88+G89</f>
        <v>-129398</v>
      </c>
      <c r="H90" s="49">
        <f t="shared" si="21"/>
        <v>1224459</v>
      </c>
      <c r="I90" s="74"/>
      <c r="J90" s="49">
        <f t="shared" si="20"/>
        <v>1224459</v>
      </c>
    </row>
    <row r="91" spans="2:10" x14ac:dyDescent="0.25">
      <c r="B91" s="26" t="s">
        <v>179</v>
      </c>
      <c r="C91" s="41"/>
      <c r="D91" s="41"/>
      <c r="E91" s="41"/>
      <c r="F91" s="155">
        <v>70086</v>
      </c>
      <c r="G91" s="53">
        <v>-16606</v>
      </c>
      <c r="H91" s="53">
        <f t="shared" si="21"/>
        <v>53480</v>
      </c>
      <c r="I91" s="72"/>
      <c r="J91" s="53">
        <f t="shared" ref="J91:J93" si="22">+H91+I91</f>
        <v>53480</v>
      </c>
    </row>
    <row r="92" spans="2:10" x14ac:dyDescent="0.25">
      <c r="B92" s="26" t="s">
        <v>307</v>
      </c>
      <c r="C92" s="41"/>
      <c r="D92" s="41"/>
      <c r="E92" s="41"/>
      <c r="F92" s="157">
        <f>+F90+F91</f>
        <v>1423943</v>
      </c>
      <c r="G92" s="49">
        <f>+G90+G91</f>
        <v>-146004</v>
      </c>
      <c r="H92" s="49">
        <f t="shared" si="21"/>
        <v>1277939</v>
      </c>
      <c r="I92" s="74"/>
      <c r="J92" s="49">
        <f t="shared" si="22"/>
        <v>1277939</v>
      </c>
    </row>
    <row r="93" spans="2:10" x14ac:dyDescent="0.25">
      <c r="B93" s="26" t="s">
        <v>179</v>
      </c>
      <c r="C93" s="41"/>
      <c r="D93" s="41"/>
      <c r="E93" s="41"/>
      <c r="F93" s="159">
        <f>+ER!D38</f>
        <v>495802</v>
      </c>
      <c r="G93" s="39">
        <f>+ER!E38</f>
        <v>-15737</v>
      </c>
      <c r="H93" s="39">
        <f>+F93+G93</f>
        <v>480065</v>
      </c>
      <c r="I93" s="47"/>
      <c r="J93" s="39">
        <f t="shared" si="22"/>
        <v>480065</v>
      </c>
    </row>
    <row r="94" spans="2:10" ht="15.75" thickBot="1" x14ac:dyDescent="0.3">
      <c r="B94" s="26" t="s">
        <v>346</v>
      </c>
      <c r="C94" s="41"/>
      <c r="D94" s="41"/>
      <c r="E94" s="41"/>
      <c r="F94" s="106">
        <f>+F92+F93</f>
        <v>1919745</v>
      </c>
      <c r="G94" s="106">
        <f>+G92+G93</f>
        <v>-161741</v>
      </c>
      <c r="H94" s="106">
        <f t="shared" ref="H94:J94" si="23">+H92+H93</f>
        <v>1758004</v>
      </c>
      <c r="I94" s="106">
        <f t="shared" si="23"/>
        <v>0</v>
      </c>
      <c r="J94" s="106">
        <f t="shared" si="23"/>
        <v>1758004</v>
      </c>
    </row>
    <row r="95" spans="2:10" ht="15.75" thickTop="1" x14ac:dyDescent="0.25">
      <c r="B95" s="26"/>
      <c r="C95" s="41"/>
      <c r="D95" s="41"/>
      <c r="E95" s="41"/>
      <c r="F95" s="39"/>
      <c r="G95" s="39"/>
      <c r="H95" s="39"/>
      <c r="I95" s="47"/>
      <c r="J95" s="47"/>
    </row>
    <row r="96" spans="2:10" x14ac:dyDescent="0.25">
      <c r="B96" s="43" t="s">
        <v>137</v>
      </c>
      <c r="C96" s="41"/>
      <c r="D96" s="41"/>
      <c r="E96" s="41"/>
      <c r="F96" s="39"/>
      <c r="G96" s="39"/>
      <c r="H96" s="39">
        <f t="shared" si="0"/>
        <v>0</v>
      </c>
      <c r="I96" s="47"/>
      <c r="J96" s="47"/>
    </row>
    <row r="97" spans="2:12" hidden="1" outlineLevel="1" x14ac:dyDescent="0.25">
      <c r="B97" s="26" t="s">
        <v>177</v>
      </c>
      <c r="C97" s="41"/>
      <c r="D97" s="41"/>
      <c r="E97" s="41"/>
      <c r="F97" s="39">
        <v>21286279</v>
      </c>
      <c r="G97" s="19">
        <v>801209</v>
      </c>
      <c r="H97" s="19">
        <f t="shared" si="0"/>
        <v>22087488</v>
      </c>
      <c r="I97" s="19"/>
      <c r="J97" s="19">
        <f t="shared" ref="J97:J110" si="24">+H97+I97</f>
        <v>22087488</v>
      </c>
    </row>
    <row r="98" spans="2:12" hidden="1" outlineLevel="1" x14ac:dyDescent="0.25">
      <c r="B98" s="26" t="s">
        <v>138</v>
      </c>
      <c r="C98" s="41"/>
      <c r="D98" s="41"/>
      <c r="E98" s="41"/>
      <c r="F98" s="39">
        <v>-10113380</v>
      </c>
      <c r="G98" s="19"/>
      <c r="H98" s="19">
        <f t="shared" si="0"/>
        <v>-10113380</v>
      </c>
      <c r="I98" s="19"/>
      <c r="J98" s="19">
        <f t="shared" si="24"/>
        <v>-10113380</v>
      </c>
    </row>
    <row r="99" spans="2:12" hidden="1" outlineLevel="1" x14ac:dyDescent="0.25">
      <c r="B99" s="26" t="s">
        <v>194</v>
      </c>
      <c r="C99" s="41"/>
      <c r="D99" s="41"/>
      <c r="E99" s="41"/>
      <c r="F99" s="49">
        <f>+F97+F98</f>
        <v>11172899</v>
      </c>
      <c r="G99" s="49">
        <f>+G97+G98</f>
        <v>801209</v>
      </c>
      <c r="H99" s="49">
        <f>+H97+H98</f>
        <v>11974108</v>
      </c>
      <c r="I99" s="49">
        <f>+I97+I98</f>
        <v>0</v>
      </c>
      <c r="J99" s="49">
        <f>+J97+J98</f>
        <v>11974108</v>
      </c>
    </row>
    <row r="100" spans="2:12" hidden="1" outlineLevel="1" x14ac:dyDescent="0.25">
      <c r="B100" s="26" t="s">
        <v>190</v>
      </c>
      <c r="C100" s="41"/>
      <c r="D100" s="41"/>
      <c r="E100" s="41"/>
      <c r="F100" s="39">
        <v>-359244</v>
      </c>
      <c r="G100" s="39"/>
      <c r="H100" s="39">
        <f>+F100+G100</f>
        <v>-359244</v>
      </c>
      <c r="I100" s="47"/>
      <c r="J100" s="39">
        <f t="shared" si="24"/>
        <v>-359244</v>
      </c>
    </row>
    <row r="101" spans="2:12" hidden="1" outlineLevel="1" x14ac:dyDescent="0.25">
      <c r="B101" s="26" t="s">
        <v>58</v>
      </c>
      <c r="C101" s="41"/>
      <c r="D101" s="41"/>
      <c r="E101" s="41"/>
      <c r="F101" s="39">
        <v>24778671</v>
      </c>
      <c r="G101" s="39"/>
      <c r="H101" s="39">
        <f>+F101+G101</f>
        <v>24778671</v>
      </c>
      <c r="I101" s="39"/>
      <c r="J101" s="39">
        <f t="shared" si="24"/>
        <v>24778671</v>
      </c>
    </row>
    <row r="102" spans="2:12" hidden="1" outlineLevel="1" x14ac:dyDescent="0.25">
      <c r="B102" s="26" t="s">
        <v>177</v>
      </c>
      <c r="C102" s="41"/>
      <c r="D102" s="41"/>
      <c r="E102" s="41"/>
      <c r="F102" s="39">
        <f>SUM(F99:F101)</f>
        <v>35592326</v>
      </c>
      <c r="G102" s="39">
        <f>SUM(G99:G101)</f>
        <v>801209</v>
      </c>
      <c r="H102" s="39">
        <f>SUM(H99:H101)</f>
        <v>36393535</v>
      </c>
      <c r="I102" s="39">
        <f>-AD!O68</f>
        <v>-2004572</v>
      </c>
      <c r="J102" s="39">
        <f>+H102+I102</f>
        <v>34388963</v>
      </c>
    </row>
    <row r="103" spans="2:12" hidden="1" outlineLevel="1" x14ac:dyDescent="0.25">
      <c r="B103" s="26" t="s">
        <v>180</v>
      </c>
      <c r="C103" s="41"/>
      <c r="D103" s="41"/>
      <c r="E103" s="41"/>
      <c r="F103" s="39">
        <v>0</v>
      </c>
      <c r="G103" s="39">
        <v>10139</v>
      </c>
      <c r="H103" s="39">
        <f>+F103+G103</f>
        <v>10139</v>
      </c>
      <c r="I103" s="47"/>
      <c r="J103" s="39">
        <f t="shared" si="24"/>
        <v>10139</v>
      </c>
    </row>
    <row r="104" spans="2:12" hidden="1" outlineLevel="1" x14ac:dyDescent="0.25">
      <c r="B104" s="26" t="s">
        <v>198</v>
      </c>
      <c r="C104" s="41"/>
      <c r="D104" s="41"/>
      <c r="E104" s="41"/>
      <c r="F104" s="53">
        <v>-5585599</v>
      </c>
      <c r="G104" s="53">
        <v>0</v>
      </c>
      <c r="H104" s="53">
        <f>+F104+G104</f>
        <v>-5585599</v>
      </c>
      <c r="I104" s="53"/>
      <c r="J104" s="53">
        <f t="shared" si="24"/>
        <v>-5585599</v>
      </c>
      <c r="K104" s="44"/>
    </row>
    <row r="105" spans="2:12" hidden="1" outlineLevel="1" x14ac:dyDescent="0.25">
      <c r="B105" s="26" t="s">
        <v>237</v>
      </c>
      <c r="C105" s="41"/>
      <c r="D105" s="41"/>
      <c r="E105" s="41"/>
      <c r="F105" s="39">
        <f>+F102+F104+F103</f>
        <v>30006727</v>
      </c>
      <c r="G105" s="39">
        <f>+G102+G104+G103</f>
        <v>811348</v>
      </c>
      <c r="H105" s="39">
        <f>+H102+H104+H103</f>
        <v>30818075</v>
      </c>
      <c r="I105" s="39">
        <f>+I102+I104+I103</f>
        <v>-2004572</v>
      </c>
      <c r="J105" s="39">
        <f>+J102+J104+J103</f>
        <v>28813503</v>
      </c>
      <c r="K105" s="40"/>
    </row>
    <row r="106" spans="2:12" hidden="1" outlineLevel="1" x14ac:dyDescent="0.25">
      <c r="B106" s="26" t="s">
        <v>181</v>
      </c>
      <c r="C106" s="41"/>
      <c r="D106" s="41"/>
      <c r="E106" s="41"/>
      <c r="F106" s="39">
        <v>0</v>
      </c>
      <c r="G106" s="39">
        <v>-1228319</v>
      </c>
      <c r="H106" s="39">
        <f t="shared" ref="H106:H110" si="25">+F106+G106</f>
        <v>-1228319</v>
      </c>
      <c r="I106" s="47"/>
      <c r="J106" s="39">
        <f t="shared" si="24"/>
        <v>-1228319</v>
      </c>
      <c r="K106" s="40"/>
    </row>
    <row r="107" spans="2:12" hidden="1" outlineLevel="1" x14ac:dyDescent="0.25">
      <c r="B107" s="26" t="s">
        <v>77</v>
      </c>
      <c r="C107" s="41"/>
      <c r="D107" s="41"/>
      <c r="E107" s="41"/>
      <c r="F107" s="39">
        <v>-5470478</v>
      </c>
      <c r="G107" s="39">
        <v>0</v>
      </c>
      <c r="H107" s="39">
        <f t="shared" si="25"/>
        <v>-5470478</v>
      </c>
      <c r="I107" s="47"/>
      <c r="J107" s="39">
        <f t="shared" si="24"/>
        <v>-5470478</v>
      </c>
      <c r="K107" s="40"/>
    </row>
    <row r="108" spans="2:12" hidden="1" outlineLevel="1" x14ac:dyDescent="0.25">
      <c r="B108" s="26" t="s">
        <v>78</v>
      </c>
      <c r="C108" s="41"/>
      <c r="D108" s="41"/>
      <c r="E108" s="41"/>
      <c r="F108" s="39">
        <v>-270000</v>
      </c>
      <c r="G108" s="39">
        <v>0</v>
      </c>
      <c r="H108" s="39">
        <f t="shared" si="25"/>
        <v>-270000</v>
      </c>
      <c r="I108" s="47"/>
      <c r="J108" s="39">
        <f t="shared" si="24"/>
        <v>-270000</v>
      </c>
      <c r="K108" s="40"/>
    </row>
    <row r="109" spans="2:12" hidden="1" outlineLevel="1" x14ac:dyDescent="0.25">
      <c r="B109" s="26" t="str">
        <f>+B100</f>
        <v>Transferencia a Reserva Legal</v>
      </c>
      <c r="C109" s="41"/>
      <c r="D109" s="41"/>
      <c r="E109" s="41"/>
      <c r="F109" s="39">
        <f>-F43</f>
        <v>-1710803</v>
      </c>
      <c r="G109" s="39">
        <v>-136481</v>
      </c>
      <c r="H109" s="39">
        <f t="shared" si="25"/>
        <v>-1847284</v>
      </c>
      <c r="I109" s="47"/>
      <c r="J109" s="39">
        <f t="shared" si="24"/>
        <v>-1847284</v>
      </c>
      <c r="K109" s="40"/>
    </row>
    <row r="110" spans="2:12" hidden="1" outlineLevel="1" x14ac:dyDescent="0.25">
      <c r="B110" s="26" t="s">
        <v>202</v>
      </c>
      <c r="C110" s="41"/>
      <c r="D110" s="41"/>
      <c r="E110" s="41"/>
      <c r="F110" s="53">
        <v>13423797</v>
      </c>
      <c r="G110" s="53">
        <v>2558818</v>
      </c>
      <c r="H110" s="53">
        <f t="shared" si="25"/>
        <v>15982615</v>
      </c>
      <c r="I110" s="53">
        <f>-AD!M68+AD!O68</f>
        <v>-5514531</v>
      </c>
      <c r="J110" s="53">
        <f t="shared" si="24"/>
        <v>10468084</v>
      </c>
      <c r="K110" s="44"/>
    </row>
    <row r="111" spans="2:12" hidden="1" outlineLevel="1" x14ac:dyDescent="0.25">
      <c r="B111" s="26" t="s">
        <v>178</v>
      </c>
      <c r="C111" s="41"/>
      <c r="D111" s="41"/>
      <c r="E111" s="41"/>
      <c r="F111" s="49">
        <v>35993633</v>
      </c>
      <c r="G111" s="49">
        <f>SUM(G105:G110)</f>
        <v>2005366</v>
      </c>
      <c r="H111" s="49">
        <f>SUM(H105:H110)</f>
        <v>37984609</v>
      </c>
      <c r="I111" s="49">
        <f>-AD!K16-AD!K44</f>
        <v>-16446314.003400002</v>
      </c>
      <c r="J111" s="49">
        <f>SUM(J105:J110)</f>
        <v>30465506</v>
      </c>
      <c r="K111" s="44"/>
      <c r="L111" s="4"/>
    </row>
    <row r="112" spans="2:12" hidden="1" outlineLevel="1" x14ac:dyDescent="0.25">
      <c r="B112" s="26" t="s">
        <v>266</v>
      </c>
      <c r="C112" s="41"/>
      <c r="D112" s="41"/>
      <c r="E112" s="41"/>
      <c r="F112" s="39">
        <v>-2936828</v>
      </c>
      <c r="G112" s="39">
        <v>0</v>
      </c>
      <c r="H112" s="39">
        <f>+F112+G112</f>
        <v>-2936828</v>
      </c>
      <c r="I112" s="39"/>
      <c r="J112" s="39">
        <f>+H112+I112</f>
        <v>-2936828</v>
      </c>
      <c r="K112" s="44"/>
      <c r="L112" s="4"/>
    </row>
    <row r="113" spans="2:12" hidden="1" outlineLevel="1" x14ac:dyDescent="0.25">
      <c r="B113" s="26" t="s">
        <v>267</v>
      </c>
      <c r="C113" s="41"/>
      <c r="D113" s="41"/>
      <c r="E113" s="41"/>
      <c r="F113" s="49">
        <f>+F111+F112</f>
        <v>33056805</v>
      </c>
      <c r="G113" s="49">
        <f t="shared" ref="G113:J113" si="26">+G111+G112</f>
        <v>2005366</v>
      </c>
      <c r="H113" s="156">
        <f t="shared" si="26"/>
        <v>35047781</v>
      </c>
      <c r="I113" s="49">
        <f t="shared" si="26"/>
        <v>-16446314.003400002</v>
      </c>
      <c r="J113" s="49">
        <f t="shared" si="26"/>
        <v>27528678</v>
      </c>
      <c r="K113" s="44"/>
      <c r="L113" s="4"/>
    </row>
    <row r="114" spans="2:12" hidden="1" outlineLevel="1" x14ac:dyDescent="0.25">
      <c r="B114" s="26" t="s">
        <v>201</v>
      </c>
      <c r="C114" s="41"/>
      <c r="D114" s="41"/>
      <c r="E114" s="41"/>
      <c r="F114" s="39">
        <v>0</v>
      </c>
      <c r="G114" s="39">
        <v>-2340607</v>
      </c>
      <c r="H114" s="39">
        <f>+F114+G114</f>
        <v>-2340607</v>
      </c>
      <c r="I114" s="47"/>
      <c r="J114" s="39">
        <f>+H114+I114</f>
        <v>-2340607</v>
      </c>
      <c r="L114" s="4"/>
    </row>
    <row r="115" spans="2:12" hidden="1" outlineLevel="1" x14ac:dyDescent="0.25">
      <c r="B115" s="26" t="s">
        <v>190</v>
      </c>
      <c r="C115" s="41"/>
      <c r="D115" s="41"/>
      <c r="E115" s="41"/>
      <c r="F115" s="39">
        <v>-1341885</v>
      </c>
      <c r="G115" s="39">
        <v>-260067</v>
      </c>
      <c r="H115" s="39">
        <f>+F115+G115</f>
        <v>-1601952</v>
      </c>
      <c r="I115" s="39"/>
      <c r="J115" s="39">
        <f>+H115+I115</f>
        <v>-1601952</v>
      </c>
      <c r="L115" s="4"/>
    </row>
    <row r="116" spans="2:12" hidden="1" outlineLevel="1" x14ac:dyDescent="0.25">
      <c r="B116" s="26" t="s">
        <v>58</v>
      </c>
      <c r="C116" s="41"/>
      <c r="D116" s="41"/>
      <c r="E116" s="41"/>
      <c r="F116" s="39">
        <v>6808164</v>
      </c>
      <c r="G116" s="39">
        <v>3793728</v>
      </c>
      <c r="H116" s="39">
        <f>+F116+G116</f>
        <v>10601892</v>
      </c>
      <c r="I116" s="39"/>
      <c r="J116" s="39">
        <f>+H116+I116</f>
        <v>10601892</v>
      </c>
      <c r="L116" s="4"/>
    </row>
    <row r="117" spans="2:12" hidden="1" collapsed="1" x14ac:dyDescent="0.25">
      <c r="B117" s="26" t="s">
        <v>200</v>
      </c>
      <c r="C117" s="41"/>
      <c r="D117" s="41"/>
      <c r="E117" s="41"/>
      <c r="F117" s="48">
        <f>SUM(F113:F116)</f>
        <v>38523084</v>
      </c>
      <c r="G117" s="48">
        <f>SUM(G113:G116)</f>
        <v>3198420</v>
      </c>
      <c r="H117" s="48">
        <f>+F117+G117</f>
        <v>41721504</v>
      </c>
      <c r="I117" s="48">
        <f>SUM(I113:I116)</f>
        <v>-16446314.003400002</v>
      </c>
      <c r="J117" s="48">
        <f>SUM(J113:J116)</f>
        <v>34188011</v>
      </c>
      <c r="K117" s="38"/>
      <c r="L117" s="4"/>
    </row>
    <row r="118" spans="2:12" hidden="1" x14ac:dyDescent="0.25">
      <c r="B118" s="26" t="s">
        <v>262</v>
      </c>
      <c r="C118" s="41"/>
      <c r="D118" s="41"/>
      <c r="E118" s="41"/>
      <c r="F118" s="39">
        <v>-6127345</v>
      </c>
      <c r="G118" s="39"/>
      <c r="H118" s="39">
        <f>+F118+G118</f>
        <v>-6127345</v>
      </c>
      <c r="I118" s="39"/>
      <c r="J118" s="39">
        <f>+H118+I118</f>
        <v>-6127345</v>
      </c>
      <c r="K118" s="38"/>
      <c r="L118" s="4"/>
    </row>
    <row r="119" spans="2:12" hidden="1" x14ac:dyDescent="0.25">
      <c r="B119" s="26" t="s">
        <v>261</v>
      </c>
      <c r="C119" s="41"/>
      <c r="D119" s="41"/>
      <c r="E119" s="41"/>
      <c r="F119" s="39">
        <v>-680816</v>
      </c>
      <c r="G119" s="39">
        <f>-259368-379372</f>
        <v>-638740</v>
      </c>
      <c r="H119" s="39">
        <f t="shared" ref="H119:J122" si="27">+F119+G119</f>
        <v>-1319556</v>
      </c>
      <c r="I119" s="39"/>
      <c r="J119" s="39">
        <f t="shared" si="27"/>
        <v>-1319556</v>
      </c>
      <c r="L119" s="4"/>
    </row>
    <row r="120" spans="2:12" hidden="1" x14ac:dyDescent="0.25">
      <c r="B120" s="26" t="s">
        <v>263</v>
      </c>
      <c r="C120" s="41"/>
      <c r="D120" s="41"/>
      <c r="E120" s="41"/>
      <c r="F120" s="39">
        <f>446968</f>
        <v>446968</v>
      </c>
      <c r="G120" s="39"/>
      <c r="H120" s="39">
        <f t="shared" si="27"/>
        <v>446968</v>
      </c>
      <c r="I120" s="39"/>
      <c r="J120" s="39">
        <f t="shared" si="27"/>
        <v>446968</v>
      </c>
      <c r="L120" s="4"/>
    </row>
    <row r="121" spans="2:12" hidden="1" x14ac:dyDescent="0.25">
      <c r="B121" s="26" t="s">
        <v>58</v>
      </c>
      <c r="C121" s="41"/>
      <c r="D121" s="41"/>
      <c r="E121" s="41"/>
      <c r="F121" s="39">
        <v>5595545</v>
      </c>
      <c r="G121" s="39">
        <v>2593677</v>
      </c>
      <c r="H121" s="39">
        <f t="shared" si="27"/>
        <v>8189222</v>
      </c>
      <c r="I121" s="39">
        <f>+ER!S39</f>
        <v>1836936.4151480002</v>
      </c>
      <c r="J121" s="39">
        <f t="shared" si="27"/>
        <v>10026158.415148001</v>
      </c>
      <c r="K121" s="38">
        <f>+F121-5595545</f>
        <v>0</v>
      </c>
      <c r="L121" s="4"/>
    </row>
    <row r="122" spans="2:12" hidden="1" x14ac:dyDescent="0.25">
      <c r="B122" s="26" t="s">
        <v>201</v>
      </c>
      <c r="C122" s="41"/>
      <c r="D122" s="41"/>
      <c r="E122" s="41"/>
      <c r="F122" s="39"/>
      <c r="G122" s="39">
        <v>-3414354</v>
      </c>
      <c r="H122" s="39">
        <f t="shared" si="27"/>
        <v>-3414354</v>
      </c>
      <c r="I122" s="39"/>
      <c r="J122" s="39">
        <f t="shared" si="27"/>
        <v>-3414354</v>
      </c>
      <c r="L122" s="4"/>
    </row>
    <row r="123" spans="2:12" x14ac:dyDescent="0.25">
      <c r="B123" s="26" t="s">
        <v>260</v>
      </c>
      <c r="C123" s="41"/>
      <c r="D123" s="41"/>
      <c r="E123" s="41"/>
      <c r="F123" s="48">
        <f>SUM(F117:F122)</f>
        <v>37757436</v>
      </c>
      <c r="G123" s="158">
        <f>SUM(G117:G122)</f>
        <v>1739003</v>
      </c>
      <c r="H123" s="158">
        <f>+F123+G123</f>
        <v>39496439</v>
      </c>
      <c r="I123" s="48">
        <f>SUM(I117:I122)</f>
        <v>-14609377.588252001</v>
      </c>
      <c r="J123" s="48">
        <f>+H123+I123</f>
        <v>24887061.411747999</v>
      </c>
      <c r="K123" s="38"/>
      <c r="L123" s="4"/>
    </row>
    <row r="124" spans="2:12" x14ac:dyDescent="0.25">
      <c r="B124" s="26" t="s">
        <v>263</v>
      </c>
      <c r="C124" s="41"/>
      <c r="D124" s="41"/>
      <c r="E124" s="41"/>
      <c r="F124" s="39">
        <v>251108</v>
      </c>
      <c r="G124" s="159">
        <v>-48910</v>
      </c>
      <c r="H124" s="159">
        <f>+F124+G124</f>
        <v>202198</v>
      </c>
      <c r="I124" s="39"/>
      <c r="J124" s="39">
        <f>+H124+I124</f>
        <v>202198</v>
      </c>
      <c r="L124" s="4"/>
    </row>
    <row r="125" spans="2:12" x14ac:dyDescent="0.25">
      <c r="B125" s="26" t="s">
        <v>314</v>
      </c>
      <c r="C125" s="41"/>
      <c r="D125" s="41"/>
      <c r="E125" s="41"/>
      <c r="F125" s="39">
        <v>854455</v>
      </c>
      <c r="G125" s="159">
        <v>-334309</v>
      </c>
      <c r="H125" s="159">
        <f t="shared" ref="H125:H135" si="28">+F125+G125</f>
        <v>520146</v>
      </c>
      <c r="I125" s="39"/>
      <c r="J125" s="39">
        <f t="shared" ref="J125:J135" si="29">+H125+I125</f>
        <v>520146</v>
      </c>
      <c r="L125" s="4"/>
    </row>
    <row r="126" spans="2:12" x14ac:dyDescent="0.25">
      <c r="B126" s="26" t="s">
        <v>201</v>
      </c>
      <c r="C126" s="41"/>
      <c r="D126" s="41"/>
      <c r="E126" s="149"/>
      <c r="F126" s="39">
        <v>-5035990</v>
      </c>
      <c r="G126" s="159">
        <v>-2143739</v>
      </c>
      <c r="H126" s="159">
        <f t="shared" si="28"/>
        <v>-7179729</v>
      </c>
      <c r="I126" s="39"/>
      <c r="J126" s="39">
        <f t="shared" si="29"/>
        <v>-7179729</v>
      </c>
      <c r="L126" s="4"/>
    </row>
    <row r="127" spans="2:12" x14ac:dyDescent="0.25">
      <c r="B127" s="26" t="s">
        <v>261</v>
      </c>
      <c r="C127" s="41"/>
      <c r="D127" s="41"/>
      <c r="E127" s="75"/>
      <c r="F127" s="39">
        <v>-559555</v>
      </c>
      <c r="G127" s="159"/>
      <c r="H127" s="159">
        <f t="shared" si="28"/>
        <v>-559555</v>
      </c>
      <c r="I127" s="39"/>
      <c r="J127" s="39">
        <f t="shared" si="29"/>
        <v>-559555</v>
      </c>
      <c r="L127" s="4"/>
    </row>
    <row r="128" spans="2:12" x14ac:dyDescent="0.25">
      <c r="B128" s="26" t="s">
        <v>315</v>
      </c>
      <c r="C128" s="41"/>
      <c r="D128" s="41"/>
      <c r="E128" s="41"/>
      <c r="F128" s="39"/>
      <c r="G128" s="159">
        <v>-190570</v>
      </c>
      <c r="H128" s="159">
        <f t="shared" si="28"/>
        <v>-190570</v>
      </c>
      <c r="I128" s="39"/>
      <c r="J128" s="39">
        <f t="shared" si="29"/>
        <v>-190570</v>
      </c>
      <c r="L128" s="4"/>
    </row>
    <row r="129" spans="2:12" x14ac:dyDescent="0.25">
      <c r="B129" s="26" t="s">
        <v>316</v>
      </c>
      <c r="C129" s="41"/>
      <c r="D129" s="41"/>
      <c r="E129" s="41"/>
      <c r="F129" s="39">
        <f>ER!J35</f>
        <v>9390028.4499999881</v>
      </c>
      <c r="G129" s="159">
        <f>ER!K35</f>
        <v>3747805</v>
      </c>
      <c r="H129" s="159">
        <f t="shared" si="28"/>
        <v>13137833.449999988</v>
      </c>
      <c r="I129" s="39">
        <f>+ER!M35</f>
        <v>3041147.9757019999</v>
      </c>
      <c r="J129" s="39">
        <f t="shared" si="29"/>
        <v>16178981.425701987</v>
      </c>
      <c r="L129" s="4"/>
    </row>
    <row r="130" spans="2:12" x14ac:dyDescent="0.25">
      <c r="B130" s="26" t="s">
        <v>307</v>
      </c>
      <c r="C130" s="41"/>
      <c r="D130" s="41"/>
      <c r="E130" s="41"/>
      <c r="F130" s="49">
        <f>SUM(F123:F129)</f>
        <v>42657482.449999988</v>
      </c>
      <c r="G130" s="157">
        <f>SUM(G123:G129)</f>
        <v>2769280</v>
      </c>
      <c r="H130" s="157">
        <f>+F130+G130</f>
        <v>45426762.449999988</v>
      </c>
      <c r="I130" s="49">
        <f>SUM(I123:I129)</f>
        <v>-11568229.612550002</v>
      </c>
      <c r="J130" s="49">
        <f>+H130+I130</f>
        <v>33858532.837449983</v>
      </c>
      <c r="K130" s="38"/>
      <c r="L130" s="4"/>
    </row>
    <row r="131" spans="2:12" x14ac:dyDescent="0.25">
      <c r="B131" s="26" t="s">
        <v>347</v>
      </c>
      <c r="C131" s="41"/>
      <c r="D131" s="41"/>
      <c r="E131" s="41"/>
      <c r="F131" s="39"/>
      <c r="G131" s="159">
        <v>-111739</v>
      </c>
      <c r="H131" s="159">
        <f t="shared" si="28"/>
        <v>-111739</v>
      </c>
      <c r="I131" s="39"/>
      <c r="J131" s="39">
        <f t="shared" si="29"/>
        <v>-111739</v>
      </c>
      <c r="K131" s="38"/>
      <c r="L131" s="4"/>
    </row>
    <row r="132" spans="2:12" x14ac:dyDescent="0.25">
      <c r="B132" s="26" t="s">
        <v>201</v>
      </c>
      <c r="C132" s="41"/>
      <c r="D132" s="41"/>
      <c r="E132" s="41"/>
      <c r="F132" s="39">
        <v>-2100675</v>
      </c>
      <c r="G132" s="159"/>
      <c r="H132" s="159">
        <f t="shared" si="28"/>
        <v>-2100675</v>
      </c>
      <c r="I132" s="39"/>
      <c r="J132" s="39">
        <f t="shared" si="29"/>
        <v>-2100675</v>
      </c>
      <c r="K132" s="38"/>
      <c r="L132" s="4"/>
    </row>
    <row r="133" spans="2:12" x14ac:dyDescent="0.25">
      <c r="B133" s="26" t="s">
        <v>261</v>
      </c>
      <c r="C133" s="41"/>
      <c r="D133" s="41"/>
      <c r="E133" s="41"/>
      <c r="F133" s="39">
        <v>-912852</v>
      </c>
      <c r="G133" s="159">
        <v>-374781</v>
      </c>
      <c r="H133" s="159">
        <f t="shared" si="28"/>
        <v>-1287633</v>
      </c>
      <c r="I133" s="39"/>
      <c r="J133" s="39">
        <f t="shared" si="29"/>
        <v>-1287633</v>
      </c>
      <c r="K133" s="38"/>
      <c r="L133" s="4"/>
    </row>
    <row r="134" spans="2:12" x14ac:dyDescent="0.25">
      <c r="B134" s="26" t="s">
        <v>315</v>
      </c>
      <c r="C134" s="41"/>
      <c r="D134" s="41"/>
      <c r="E134" s="41"/>
      <c r="F134" s="39">
        <v>-8381000</v>
      </c>
      <c r="G134" s="159">
        <v>-3373023</v>
      </c>
      <c r="H134" s="159">
        <f t="shared" si="28"/>
        <v>-11754023</v>
      </c>
      <c r="I134" s="39"/>
      <c r="J134" s="39">
        <f t="shared" si="29"/>
        <v>-11754023</v>
      </c>
      <c r="K134" s="38"/>
      <c r="L134" s="4"/>
    </row>
    <row r="135" spans="2:12" x14ac:dyDescent="0.25">
      <c r="B135" s="26" t="s">
        <v>316</v>
      </c>
      <c r="C135" s="41"/>
      <c r="D135" s="41"/>
      <c r="E135" s="41"/>
      <c r="F135" s="39">
        <f>+ER!D35</f>
        <v>26760022</v>
      </c>
      <c r="G135" s="159">
        <f>+ER!E35</f>
        <v>7092645</v>
      </c>
      <c r="H135" s="159">
        <f t="shared" si="28"/>
        <v>33852667</v>
      </c>
      <c r="I135" s="39">
        <f>+ER!G35</f>
        <v>1472503.75</v>
      </c>
      <c r="J135" s="39">
        <f t="shared" si="29"/>
        <v>35325170.75</v>
      </c>
      <c r="K135" s="38"/>
      <c r="L135" s="4"/>
    </row>
    <row r="136" spans="2:12" ht="15.75" thickBot="1" x14ac:dyDescent="0.3">
      <c r="B136" s="26" t="s">
        <v>346</v>
      </c>
      <c r="C136" s="41"/>
      <c r="D136" s="41"/>
      <c r="E136" s="41"/>
      <c r="F136" s="160">
        <f>SUM(F130:F135)</f>
        <v>58022977.449999988</v>
      </c>
      <c r="G136" s="160">
        <f>SUM(G130:G135)</f>
        <v>6002382</v>
      </c>
      <c r="H136" s="160">
        <f t="shared" ref="H136:J136" si="30">SUM(H130:H135)</f>
        <v>64025359.449999988</v>
      </c>
      <c r="I136" s="160">
        <f t="shared" si="30"/>
        <v>-10095725.862550002</v>
      </c>
      <c r="J136" s="160">
        <f t="shared" si="30"/>
        <v>53929633.587449983</v>
      </c>
      <c r="K136" s="38"/>
      <c r="L136" s="4"/>
    </row>
    <row r="137" spans="2:12" ht="15.75" thickTop="1" x14ac:dyDescent="0.25">
      <c r="B137" s="150" t="s">
        <v>320</v>
      </c>
      <c r="C137" s="153"/>
      <c r="D137" s="153"/>
      <c r="E137" s="153"/>
      <c r="F137" s="151">
        <f>+F130+F92+F78+F70</f>
        <v>41106066.449999988</v>
      </c>
      <c r="G137" s="151">
        <f>+G130+G92+G78+G70</f>
        <v>2683535</v>
      </c>
      <c r="H137" s="151">
        <f>+H130+H92+H78+H70</f>
        <v>43789601.449999988</v>
      </c>
      <c r="I137" s="151">
        <f>+I130+I92+I78+I70</f>
        <v>-11568229.612550002</v>
      </c>
      <c r="J137" s="151">
        <f>+J130+J92+J78+J70</f>
        <v>32221371.837449983</v>
      </c>
      <c r="K137" s="38">
        <f>+I137-'BG '!M70</f>
        <v>0</v>
      </c>
      <c r="L137" s="4"/>
    </row>
    <row r="138" spans="2:12" ht="13.15" customHeight="1" x14ac:dyDescent="0.25">
      <c r="B138" s="43" t="s">
        <v>321</v>
      </c>
      <c r="C138" s="41"/>
      <c r="D138" s="41"/>
      <c r="E138" s="41"/>
      <c r="F138" s="39"/>
      <c r="G138" s="39"/>
      <c r="H138" s="39"/>
      <c r="I138" s="47"/>
      <c r="J138" s="47"/>
      <c r="L138" s="4"/>
    </row>
    <row r="139" spans="2:12" hidden="1" outlineLevel="1" x14ac:dyDescent="0.25">
      <c r="B139" s="26" t="s">
        <v>75</v>
      </c>
      <c r="C139" s="41"/>
      <c r="D139" s="41"/>
      <c r="E139" s="41"/>
      <c r="F139" s="39">
        <f>+F8+F26+F40+F57+F66+F74+F97</f>
        <v>39550217</v>
      </c>
      <c r="G139" s="39">
        <f>+G8+G26+G40+G57+G66+G74+G97</f>
        <v>5424539</v>
      </c>
      <c r="H139" s="39">
        <f t="shared" si="0"/>
        <v>44974756</v>
      </c>
      <c r="I139" s="47"/>
      <c r="J139" s="39">
        <f t="shared" ref="J139:J149" si="31">+H139+I139</f>
        <v>44974756</v>
      </c>
      <c r="L139" s="4"/>
    </row>
    <row r="140" spans="2:12" hidden="1" outlineLevel="1" x14ac:dyDescent="0.25">
      <c r="B140" s="26" t="s">
        <v>180</v>
      </c>
      <c r="C140" s="41"/>
      <c r="D140" s="41"/>
      <c r="E140" s="41"/>
      <c r="F140" s="39"/>
      <c r="G140" s="39">
        <v>-154178</v>
      </c>
      <c r="H140" s="39"/>
      <c r="I140" s="47"/>
      <c r="J140" s="39"/>
      <c r="L140" s="4"/>
    </row>
    <row r="141" spans="2:12" hidden="1" outlineLevel="1" x14ac:dyDescent="0.25">
      <c r="B141" s="26" t="s">
        <v>138</v>
      </c>
      <c r="C141" s="41"/>
      <c r="D141" s="41"/>
      <c r="E141" s="41"/>
      <c r="F141" s="39">
        <f>+F98</f>
        <v>-10113380</v>
      </c>
      <c r="G141" s="39"/>
      <c r="H141" s="39">
        <f t="shared" si="0"/>
        <v>-10113380</v>
      </c>
      <c r="I141" s="47"/>
      <c r="J141" s="39">
        <f t="shared" si="31"/>
        <v>-10113380</v>
      </c>
      <c r="L141" s="4"/>
    </row>
    <row r="142" spans="2:12" hidden="1" outlineLevel="1" x14ac:dyDescent="0.25">
      <c r="B142" s="26" t="s">
        <v>237</v>
      </c>
      <c r="C142" s="41"/>
      <c r="D142" s="41"/>
      <c r="E142" s="41"/>
      <c r="F142" s="39">
        <f>+F102+F74+F66+F57+F42+F28+F9</f>
        <v>55520427</v>
      </c>
      <c r="G142" s="39">
        <f>+G139+G140</f>
        <v>5270361</v>
      </c>
      <c r="H142" s="39">
        <f t="shared" ref="H142:H149" si="32">+F142+G142</f>
        <v>60790788</v>
      </c>
      <c r="I142" s="92">
        <f>+I102</f>
        <v>-2004572</v>
      </c>
      <c r="J142" s="39">
        <f t="shared" si="31"/>
        <v>58786216</v>
      </c>
      <c r="L142" s="4"/>
    </row>
    <row r="143" spans="2:12" hidden="1" outlineLevel="1" x14ac:dyDescent="0.25">
      <c r="B143" s="26" t="s">
        <v>198</v>
      </c>
      <c r="C143" s="41"/>
      <c r="D143" s="41"/>
      <c r="E143" s="41"/>
      <c r="F143" s="39">
        <f>+F104</f>
        <v>-5585599</v>
      </c>
      <c r="G143" s="39">
        <f>+G104</f>
        <v>0</v>
      </c>
      <c r="H143" s="39">
        <f>+H104</f>
        <v>-5585599</v>
      </c>
      <c r="I143" s="39">
        <f>+I104</f>
        <v>0</v>
      </c>
      <c r="J143" s="39">
        <f>+J104</f>
        <v>-5585599</v>
      </c>
      <c r="L143" s="4"/>
    </row>
    <row r="144" spans="2:12" hidden="1" outlineLevel="1" x14ac:dyDescent="0.25">
      <c r="B144" s="26" t="s">
        <v>237</v>
      </c>
      <c r="C144" s="41"/>
      <c r="D144" s="41"/>
      <c r="E144" s="41"/>
      <c r="F144" s="39">
        <f>SUM(F142:F143)</f>
        <v>49934828</v>
      </c>
      <c r="G144" s="39">
        <f>SUM(G142:G143)</f>
        <v>5270361</v>
      </c>
      <c r="H144" s="39">
        <f>SUM(H142:H143)</f>
        <v>55205189</v>
      </c>
      <c r="I144" s="39">
        <f>SUM(I142:I143)</f>
        <v>-2004572</v>
      </c>
      <c r="J144" s="39">
        <f>SUM(J142:J143)</f>
        <v>53200617</v>
      </c>
      <c r="L144" s="4"/>
    </row>
    <row r="145" spans="2:12" hidden="1" outlineLevel="1" x14ac:dyDescent="0.25">
      <c r="B145" s="26" t="str">
        <f>+B29</f>
        <v>Devolución de aporte de accionistas 13 enero 2015</v>
      </c>
      <c r="C145" s="41"/>
      <c r="D145" s="41"/>
      <c r="E145" s="41"/>
      <c r="F145" s="92">
        <f>+F29</f>
        <v>-3094403</v>
      </c>
      <c r="G145" s="39"/>
      <c r="H145" s="39">
        <f>+F145+G145</f>
        <v>-3094403</v>
      </c>
      <c r="I145" s="47"/>
      <c r="J145" s="39">
        <f>+H145+I145</f>
        <v>-3094403</v>
      </c>
      <c r="L145" s="4"/>
    </row>
    <row r="146" spans="2:12" hidden="1" outlineLevel="1" x14ac:dyDescent="0.25">
      <c r="B146" s="26" t="s">
        <v>76</v>
      </c>
      <c r="C146" s="41"/>
      <c r="D146" s="41"/>
      <c r="E146" s="41"/>
      <c r="F146" s="39"/>
      <c r="G146" s="39"/>
      <c r="H146" s="39">
        <f t="shared" si="32"/>
        <v>0</v>
      </c>
      <c r="I146" s="47"/>
      <c r="J146" s="39">
        <f t="shared" si="31"/>
        <v>0</v>
      </c>
      <c r="L146" s="4"/>
    </row>
    <row r="147" spans="2:12" hidden="1" outlineLevel="1" x14ac:dyDescent="0.25">
      <c r="B147" s="26" t="s">
        <v>77</v>
      </c>
      <c r="C147" s="41"/>
      <c r="D147" s="41"/>
      <c r="E147" s="41"/>
      <c r="F147" s="39"/>
      <c r="G147" s="39"/>
      <c r="H147" s="39">
        <f t="shared" si="32"/>
        <v>0</v>
      </c>
      <c r="I147" s="47"/>
      <c r="J147" s="39">
        <f t="shared" si="31"/>
        <v>0</v>
      </c>
      <c r="L147" s="4"/>
    </row>
    <row r="148" spans="2:12" hidden="1" outlineLevel="1" x14ac:dyDescent="0.25">
      <c r="B148" s="26" t="s">
        <v>78</v>
      </c>
      <c r="C148" s="41"/>
      <c r="D148" s="41"/>
      <c r="E148" s="41"/>
      <c r="F148" s="39"/>
      <c r="G148" s="39"/>
      <c r="H148" s="39">
        <f t="shared" si="32"/>
        <v>0</v>
      </c>
      <c r="I148" s="47"/>
      <c r="J148" s="39">
        <f t="shared" si="31"/>
        <v>0</v>
      </c>
      <c r="L148" s="4"/>
    </row>
    <row r="149" spans="2:12" hidden="1" outlineLevel="1" x14ac:dyDescent="0.25">
      <c r="B149" s="26" t="s">
        <v>139</v>
      </c>
      <c r="C149" s="41"/>
      <c r="D149" s="41"/>
      <c r="E149" s="41"/>
      <c r="F149" s="39"/>
      <c r="G149" s="39"/>
      <c r="H149" s="39">
        <f t="shared" si="32"/>
        <v>0</v>
      </c>
      <c r="I149" s="47"/>
      <c r="J149" s="39">
        <f t="shared" si="31"/>
        <v>0</v>
      </c>
      <c r="L149" s="4"/>
    </row>
    <row r="150" spans="2:12" hidden="1" outlineLevel="1" x14ac:dyDescent="0.25">
      <c r="B150" s="26" t="s">
        <v>199</v>
      </c>
      <c r="C150" s="41"/>
      <c r="D150" s="41"/>
      <c r="E150" s="41"/>
      <c r="F150" s="39">
        <v>14390</v>
      </c>
      <c r="G150" s="39">
        <v>0</v>
      </c>
      <c r="H150" s="39">
        <f>+F150+G150</f>
        <v>14390</v>
      </c>
      <c r="I150" s="47"/>
      <c r="J150" s="39">
        <f>+H150+I150</f>
        <v>14390</v>
      </c>
      <c r="K150" s="40"/>
      <c r="L150" s="4"/>
    </row>
    <row r="151" spans="2:12" hidden="1" outlineLevel="1" x14ac:dyDescent="0.25">
      <c r="B151" s="26" t="s">
        <v>58</v>
      </c>
      <c r="C151" s="41"/>
      <c r="D151" s="41"/>
      <c r="E151" s="41"/>
      <c r="F151" s="39">
        <f>+F110+F85</f>
        <v>13423797</v>
      </c>
      <c r="G151" s="39">
        <f>+G110+G85</f>
        <v>2603318</v>
      </c>
      <c r="H151" s="39">
        <f>+H110+H85</f>
        <v>16027115</v>
      </c>
      <c r="I151" s="39">
        <f>+I110+I85</f>
        <v>-5514531</v>
      </c>
      <c r="J151" s="39">
        <f>+J110+J85</f>
        <v>10512584</v>
      </c>
      <c r="L151" s="4"/>
    </row>
    <row r="152" spans="2:12" hidden="1" outlineLevel="1" x14ac:dyDescent="0.25">
      <c r="B152" s="26" t="s">
        <v>239</v>
      </c>
      <c r="C152" s="41"/>
      <c r="D152" s="41"/>
      <c r="E152" s="41"/>
      <c r="F152" s="39">
        <f>SUM(F144:F151)</f>
        <v>60278612</v>
      </c>
      <c r="G152" s="39">
        <f>SUM(G144:G151)</f>
        <v>7873679</v>
      </c>
      <c r="H152" s="39">
        <f>+F152+G152</f>
        <v>68152291</v>
      </c>
      <c r="I152" s="39">
        <f>+I111</f>
        <v>-16446314.003400002</v>
      </c>
      <c r="J152" s="39">
        <f>+H152+I152</f>
        <v>51705976.996600002</v>
      </c>
      <c r="L152" s="4"/>
    </row>
    <row r="153" spans="2:12" hidden="1" outlineLevel="1" x14ac:dyDescent="0.25">
      <c r="B153" s="139" t="s">
        <v>266</v>
      </c>
      <c r="C153" s="140"/>
      <c r="D153" s="140"/>
      <c r="E153" s="140"/>
      <c r="F153" s="53">
        <v>-2936828</v>
      </c>
      <c r="G153" s="53">
        <v>0</v>
      </c>
      <c r="H153" s="53">
        <f>+F153+G153</f>
        <v>-2936828</v>
      </c>
      <c r="I153" s="53"/>
      <c r="J153" s="53">
        <f t="shared" ref="J153:J162" si="33">+H153+I153</f>
        <v>-2936828</v>
      </c>
      <c r="K153" s="44"/>
      <c r="L153" s="4"/>
    </row>
    <row r="154" spans="2:12" hidden="1" outlineLevel="1" x14ac:dyDescent="0.25">
      <c r="B154" s="26" t="s">
        <v>267</v>
      </c>
      <c r="C154" s="41"/>
      <c r="D154" s="41"/>
      <c r="E154" s="41"/>
      <c r="F154" s="39">
        <f>+F152+F153</f>
        <v>57341784</v>
      </c>
      <c r="G154" s="39">
        <f t="shared" ref="G154:I154" si="34">+G152+G153</f>
        <v>7873679</v>
      </c>
      <c r="H154" s="39">
        <f t="shared" si="34"/>
        <v>65215463</v>
      </c>
      <c r="I154" s="39">
        <f t="shared" si="34"/>
        <v>-16446314.003400002</v>
      </c>
      <c r="J154" s="39">
        <f t="shared" si="33"/>
        <v>48769148.996600002</v>
      </c>
      <c r="K154" s="44"/>
      <c r="L154" s="4"/>
    </row>
    <row r="155" spans="2:12" hidden="1" outlineLevel="1" x14ac:dyDescent="0.25">
      <c r="B155" s="26" t="s">
        <v>138</v>
      </c>
      <c r="C155" s="41"/>
      <c r="D155" s="41"/>
      <c r="E155" s="41"/>
      <c r="F155" s="39">
        <v>0</v>
      </c>
      <c r="G155" s="39">
        <v>0</v>
      </c>
      <c r="H155" s="39">
        <f>+F155+G155</f>
        <v>0</v>
      </c>
      <c r="I155" s="39"/>
      <c r="J155" s="39">
        <f t="shared" si="33"/>
        <v>0</v>
      </c>
      <c r="K155" s="44"/>
      <c r="L155" s="4"/>
    </row>
    <row r="156" spans="2:12" hidden="1" outlineLevel="1" x14ac:dyDescent="0.25">
      <c r="B156" s="26" t="s">
        <v>58</v>
      </c>
      <c r="C156" s="41"/>
      <c r="D156" s="41"/>
      <c r="E156" s="41"/>
      <c r="F156" s="39">
        <v>6312362</v>
      </c>
      <c r="G156" s="39">
        <f>+G116+G87</f>
        <v>3810401</v>
      </c>
      <c r="H156" s="39">
        <f>+F156+G156</f>
        <v>10122763</v>
      </c>
      <c r="I156" s="39">
        <f>+I116+I87</f>
        <v>0</v>
      </c>
      <c r="J156" s="39">
        <f t="shared" si="33"/>
        <v>10122763</v>
      </c>
      <c r="L156" s="4"/>
    </row>
    <row r="157" spans="2:12" hidden="1" collapsed="1" x14ac:dyDescent="0.25">
      <c r="B157" s="26" t="s">
        <v>200</v>
      </c>
      <c r="C157" s="41"/>
      <c r="D157" s="41"/>
      <c r="E157" s="112"/>
      <c r="F157" s="48">
        <f>SUM(F154:F156)</f>
        <v>63654146</v>
      </c>
      <c r="G157" s="48">
        <f>SUM(G154:G156)</f>
        <v>11684080</v>
      </c>
      <c r="H157" s="48">
        <f>SUM(H154:H156)</f>
        <v>75338226</v>
      </c>
      <c r="I157" s="48">
        <f>SUM(I154:I156)</f>
        <v>-16446314.003400002</v>
      </c>
      <c r="J157" s="48">
        <f t="shared" si="33"/>
        <v>58891911.996600002</v>
      </c>
      <c r="L157" s="4"/>
    </row>
    <row r="158" spans="2:12" hidden="1" x14ac:dyDescent="0.25">
      <c r="B158" s="26" t="s">
        <v>263</v>
      </c>
      <c r="C158" s="41"/>
      <c r="D158" s="41"/>
      <c r="E158" s="41"/>
      <c r="F158" s="39">
        <f>128916+446968</f>
        <v>575884</v>
      </c>
      <c r="G158" s="39">
        <v>0</v>
      </c>
      <c r="H158" s="39">
        <f t="shared" ref="H158:H160" si="35">+F158+G158</f>
        <v>575884</v>
      </c>
      <c r="I158" s="39"/>
      <c r="J158" s="39">
        <f t="shared" si="33"/>
        <v>575884</v>
      </c>
      <c r="L158" s="4"/>
    </row>
    <row r="159" spans="2:12" ht="24.75" hidden="1" customHeight="1" x14ac:dyDescent="0.25">
      <c r="B159" s="191" t="s">
        <v>259</v>
      </c>
      <c r="C159" s="192"/>
      <c r="D159" s="192"/>
      <c r="E159" s="193"/>
      <c r="F159" s="39">
        <v>-705016</v>
      </c>
      <c r="G159" s="39">
        <v>0</v>
      </c>
      <c r="H159" s="39">
        <f t="shared" si="35"/>
        <v>-705016</v>
      </c>
      <c r="I159" s="39"/>
      <c r="J159" s="39">
        <f t="shared" si="33"/>
        <v>-705016</v>
      </c>
      <c r="L159" s="4"/>
    </row>
    <row r="160" spans="2:12" hidden="1" x14ac:dyDescent="0.25">
      <c r="B160" s="26" t="s">
        <v>58</v>
      </c>
      <c r="C160" s="41"/>
      <c r="D160" s="41"/>
      <c r="E160" s="41"/>
      <c r="F160" s="39">
        <v>7316288</v>
      </c>
      <c r="G160" s="53">
        <v>2567422</v>
      </c>
      <c r="H160" s="53">
        <f t="shared" si="35"/>
        <v>9883710</v>
      </c>
      <c r="I160" s="53">
        <f>+I121</f>
        <v>1836936.4151480002</v>
      </c>
      <c r="J160" s="53">
        <f t="shared" si="33"/>
        <v>11720646.415148001</v>
      </c>
      <c r="L160" s="4"/>
    </row>
    <row r="161" spans="2:12" x14ac:dyDescent="0.25">
      <c r="B161" s="26" t="s">
        <v>260</v>
      </c>
      <c r="C161" s="41"/>
      <c r="D161" s="41"/>
      <c r="E161" s="112"/>
      <c r="F161" s="49">
        <f>SUM(F157:F160)</f>
        <v>70841302</v>
      </c>
      <c r="G161" s="49">
        <f>SUM(G157:G160)+1</f>
        <v>14251503</v>
      </c>
      <c r="H161" s="49">
        <f>+G161+F161</f>
        <v>85092805</v>
      </c>
      <c r="I161" s="49">
        <f>SUM(I157:I160)</f>
        <v>-14609377.588252001</v>
      </c>
      <c r="J161" s="49">
        <f t="shared" si="33"/>
        <v>70483427.411747992</v>
      </c>
      <c r="K161" s="38">
        <f>+F161-70841302</f>
        <v>0</v>
      </c>
      <c r="L161" s="4"/>
    </row>
    <row r="162" spans="2:12" x14ac:dyDescent="0.25">
      <c r="B162" s="26" t="s">
        <v>322</v>
      </c>
      <c r="C162" s="41"/>
      <c r="D162" s="41"/>
      <c r="E162" s="41"/>
      <c r="F162" s="39">
        <v>70086</v>
      </c>
      <c r="G162" s="39">
        <v>-16606</v>
      </c>
      <c r="H162" s="39">
        <f t="shared" ref="H162" si="36">+F162+G162</f>
        <v>53480</v>
      </c>
      <c r="I162" s="47"/>
      <c r="J162" s="39">
        <f t="shared" si="33"/>
        <v>53480</v>
      </c>
    </row>
    <row r="163" spans="2:12" x14ac:dyDescent="0.25">
      <c r="B163" s="26" t="s">
        <v>263</v>
      </c>
      <c r="C163" s="41"/>
      <c r="D163" s="41"/>
      <c r="E163" s="41"/>
      <c r="F163" s="39">
        <v>251108</v>
      </c>
      <c r="G163" s="159">
        <v>-48910</v>
      </c>
      <c r="H163" s="159">
        <f>+F163+G163</f>
        <v>202198</v>
      </c>
      <c r="I163" s="39"/>
      <c r="J163" s="39">
        <f>+H163+I163</f>
        <v>202198</v>
      </c>
      <c r="L163" s="4"/>
    </row>
    <row r="164" spans="2:12" x14ac:dyDescent="0.25">
      <c r="B164" s="26" t="s">
        <v>314</v>
      </c>
      <c r="C164" s="41"/>
      <c r="D164" s="41"/>
      <c r="E164" s="41"/>
      <c r="F164" s="39">
        <v>854455</v>
      </c>
      <c r="G164" s="159">
        <v>-334309</v>
      </c>
      <c r="H164" s="159">
        <f t="shared" ref="H164:H165" si="37">+F164+G164</f>
        <v>520146</v>
      </c>
      <c r="I164" s="39"/>
      <c r="J164" s="39">
        <f t="shared" ref="J164" si="38">+H164+I164</f>
        <v>520146</v>
      </c>
      <c r="L164" s="4"/>
    </row>
    <row r="165" spans="2:12" x14ac:dyDescent="0.25">
      <c r="B165" s="26" t="s">
        <v>315</v>
      </c>
      <c r="C165" s="41"/>
      <c r="D165" s="41"/>
      <c r="E165" s="41"/>
      <c r="F165" s="39"/>
      <c r="G165" s="159">
        <v>-190570</v>
      </c>
      <c r="H165" s="159">
        <f t="shared" si="37"/>
        <v>-190570</v>
      </c>
      <c r="I165" s="39"/>
      <c r="J165" s="39">
        <f t="shared" ref="J165" si="39">+H165+I165</f>
        <v>-190570</v>
      </c>
      <c r="L165" s="4"/>
    </row>
    <row r="166" spans="2:12" x14ac:dyDescent="0.25">
      <c r="B166" s="26" t="s">
        <v>316</v>
      </c>
      <c r="C166" s="41"/>
      <c r="D166" s="41"/>
      <c r="E166" s="41"/>
      <c r="F166" s="39">
        <f>+F129</f>
        <v>9390028.4499999881</v>
      </c>
      <c r="G166" s="159">
        <f t="shared" ref="G166:J166" si="40">+G129</f>
        <v>3747805</v>
      </c>
      <c r="H166" s="159">
        <f t="shared" si="40"/>
        <v>13137833.449999988</v>
      </c>
      <c r="I166" s="159">
        <f t="shared" si="40"/>
        <v>3041147.9757019999</v>
      </c>
      <c r="J166" s="159">
        <f t="shared" si="40"/>
        <v>16178981.425701987</v>
      </c>
      <c r="L166" s="4"/>
    </row>
    <row r="167" spans="2:12" x14ac:dyDescent="0.25">
      <c r="B167" s="26" t="s">
        <v>307</v>
      </c>
      <c r="C167" s="41"/>
      <c r="D167" s="41"/>
      <c r="E167" s="41"/>
      <c r="F167" s="49">
        <f>SUM(F161:F166)</f>
        <v>81406979.449999988</v>
      </c>
      <c r="G167" s="23">
        <f>SUM(G161:G166)</f>
        <v>17408913</v>
      </c>
      <c r="H167" s="23">
        <f>SUM(H161:H166)</f>
        <v>98815892.449999988</v>
      </c>
      <c r="I167" s="23">
        <f>SUM(I161:I166)</f>
        <v>-11568229.612550002</v>
      </c>
      <c r="J167" s="23">
        <f>SUM(J161:J166)</f>
        <v>87247662.837449983</v>
      </c>
    </row>
    <row r="168" spans="2:12" x14ac:dyDescent="0.25">
      <c r="B168" s="26" t="s">
        <v>357</v>
      </c>
      <c r="C168" s="41"/>
      <c r="D168" s="41"/>
      <c r="E168" s="41"/>
      <c r="F168" s="39">
        <f>+F36</f>
        <v>6115000</v>
      </c>
      <c r="G168" s="19"/>
      <c r="H168" s="19">
        <f>+F168+G168</f>
        <v>6115000</v>
      </c>
      <c r="I168" s="19"/>
      <c r="J168" s="39">
        <f t="shared" ref="J168:J171" si="41">+H168+I168</f>
        <v>6115000</v>
      </c>
    </row>
    <row r="169" spans="2:12" x14ac:dyDescent="0.25">
      <c r="B169" s="26" t="s">
        <v>347</v>
      </c>
      <c r="C169" s="41"/>
      <c r="D169" s="41"/>
      <c r="E169" s="41"/>
      <c r="F169" s="39">
        <f>+F131</f>
        <v>0</v>
      </c>
      <c r="G169" s="19">
        <f>+G131</f>
        <v>-111739</v>
      </c>
      <c r="H169" s="19">
        <f>+F169+G169</f>
        <v>-111739</v>
      </c>
      <c r="I169" s="19"/>
      <c r="J169" s="39">
        <f t="shared" si="41"/>
        <v>-111739</v>
      </c>
    </row>
    <row r="170" spans="2:12" x14ac:dyDescent="0.25">
      <c r="B170" s="26" t="s">
        <v>315</v>
      </c>
      <c r="C170" s="41"/>
      <c r="D170" s="41"/>
      <c r="E170" s="41"/>
      <c r="F170" s="39">
        <f>+F134</f>
        <v>-8381000</v>
      </c>
      <c r="G170" s="19">
        <f>+G134</f>
        <v>-3373023</v>
      </c>
      <c r="H170" s="19">
        <f t="shared" ref="H170:H171" si="42">+F170+G170</f>
        <v>-11754023</v>
      </c>
      <c r="I170" s="19"/>
      <c r="J170" s="39">
        <f t="shared" si="41"/>
        <v>-11754023</v>
      </c>
    </row>
    <row r="171" spans="2:12" x14ac:dyDescent="0.25">
      <c r="B171" s="26" t="s">
        <v>348</v>
      </c>
      <c r="C171" s="41"/>
      <c r="D171" s="41"/>
      <c r="E171" s="41"/>
      <c r="F171" s="39">
        <f>+F135+F93</f>
        <v>27255824</v>
      </c>
      <c r="G171" s="19">
        <f>+G135+G93</f>
        <v>7076908</v>
      </c>
      <c r="H171" s="19">
        <f t="shared" si="42"/>
        <v>34332732</v>
      </c>
      <c r="I171" s="19">
        <f>+I135</f>
        <v>1472503.75</v>
      </c>
      <c r="J171" s="39">
        <f t="shared" si="41"/>
        <v>35805235.75</v>
      </c>
    </row>
    <row r="172" spans="2:12" x14ac:dyDescent="0.25">
      <c r="B172" s="136"/>
      <c r="C172" s="136"/>
      <c r="D172" s="136"/>
      <c r="E172" s="86"/>
      <c r="F172" s="20">
        <f>SUM(F167:F171)</f>
        <v>106396803.44999999</v>
      </c>
      <c r="G172" s="20">
        <f>SUM(G167:G171)</f>
        <v>21001059</v>
      </c>
      <c r="H172" s="20">
        <f>SUM(H167:H171)</f>
        <v>127397862.44999999</v>
      </c>
      <c r="I172" s="20">
        <f>SUM(I167:I171)</f>
        <v>-10095725.862550002</v>
      </c>
      <c r="J172" s="20">
        <f>SUM(J167:J171)</f>
        <v>117302136.58744998</v>
      </c>
    </row>
    <row r="173" spans="2:12" x14ac:dyDescent="0.25">
      <c r="F173" s="181">
        <f>+F136+F94+F78+F71+F62+F54+F37+F23-F172</f>
        <v>-0.43999999761581421</v>
      </c>
      <c r="G173" s="181">
        <f t="shared" ref="G173:J173" si="43">+G136+G94+G78+G71+G62+G54+G37+G23-G172</f>
        <v>0</v>
      </c>
      <c r="H173" s="181">
        <f t="shared" si="43"/>
        <v>-0.43999999761581421</v>
      </c>
      <c r="I173" s="181">
        <f t="shared" si="43"/>
        <v>0</v>
      </c>
      <c r="J173" s="181">
        <f t="shared" si="43"/>
        <v>-0.43999999761581421</v>
      </c>
    </row>
    <row r="176" spans="2:12" x14ac:dyDescent="0.25">
      <c r="J176" s="38"/>
    </row>
    <row r="177" spans="6:8" x14ac:dyDescent="0.25">
      <c r="F177" s="63" t="s">
        <v>254</v>
      </c>
      <c r="G177" s="7"/>
      <c r="H177" s="7"/>
    </row>
    <row r="178" spans="6:8" x14ac:dyDescent="0.25">
      <c r="F178" s="4" t="s">
        <v>255</v>
      </c>
      <c r="G178"/>
    </row>
  </sheetData>
  <mergeCells count="5">
    <mergeCell ref="B159:E159"/>
    <mergeCell ref="B33:E33"/>
    <mergeCell ref="B36:E36"/>
    <mergeCell ref="B34:E34"/>
    <mergeCell ref="B35:E35"/>
  </mergeCells>
  <pageMargins left="0.7" right="0.7" top="0.75" bottom="0.75" header="0.3" footer="0.3"/>
  <pageSetup scale="81" orientation="portrait" r:id="rId1"/>
  <rowBreaks count="1" manualBreakCount="1">
    <brk id="95"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sheetPr>
  <dimension ref="A1:U75"/>
  <sheetViews>
    <sheetView tabSelected="1" topLeftCell="A4" zoomScaleNormal="100" workbookViewId="0">
      <pane xSplit="6" ySplit="2" topLeftCell="G11" activePane="bottomRight" state="frozen"/>
      <selection activeCell="A4" sqref="A4"/>
      <selection pane="topRight" activeCell="G4" sqref="G4"/>
      <selection pane="bottomLeft" activeCell="A6" sqref="A6"/>
      <selection pane="bottomRight" activeCell="D13" sqref="D13"/>
    </sheetView>
  </sheetViews>
  <sheetFormatPr defaultColWidth="11.42578125" defaultRowHeight="15" outlineLevelRow="1" x14ac:dyDescent="0.25"/>
  <cols>
    <col min="1" max="1" width="2.7109375" customWidth="1"/>
    <col min="6" max="6" width="12.140625" customWidth="1"/>
    <col min="7" max="10" width="12.5703125" bestFit="1" customWidth="1"/>
    <col min="11" max="12" width="11.42578125" hidden="1" customWidth="1"/>
    <col min="13" max="13" width="12" hidden="1" customWidth="1"/>
    <col min="14" max="16" width="11.42578125" hidden="1" customWidth="1"/>
    <col min="17" max="17" width="3.5703125" hidden="1" customWidth="1"/>
    <col min="18" max="19" width="11.42578125" hidden="1" customWidth="1"/>
    <col min="20" max="20" width="14.28515625" bestFit="1" customWidth="1"/>
    <col min="21" max="21" width="13.28515625" bestFit="1" customWidth="1"/>
  </cols>
  <sheetData>
    <row r="1" spans="1:20" x14ac:dyDescent="0.25">
      <c r="A1" s="2" t="s">
        <v>0</v>
      </c>
    </row>
    <row r="2" spans="1:20" x14ac:dyDescent="0.25">
      <c r="A2" s="1" t="s">
        <v>151</v>
      </c>
      <c r="Q2" s="40"/>
      <c r="S2" s="40"/>
      <c r="T2" s="44"/>
    </row>
    <row r="3" spans="1:20" x14ac:dyDescent="0.25">
      <c r="A3" s="1" t="s">
        <v>256</v>
      </c>
      <c r="Q3" s="40"/>
      <c r="R3" s="40"/>
      <c r="S3" s="40"/>
      <c r="T3" s="40"/>
    </row>
    <row r="4" spans="1:20" x14ac:dyDescent="0.25">
      <c r="A4" s="3" t="s">
        <v>18</v>
      </c>
      <c r="G4" s="205">
        <v>2019</v>
      </c>
      <c r="H4" s="206"/>
      <c r="I4" s="202">
        <v>2018</v>
      </c>
      <c r="J4" s="202"/>
      <c r="K4" s="202">
        <v>2017</v>
      </c>
      <c r="L4" s="202"/>
      <c r="M4" s="202">
        <v>2016</v>
      </c>
      <c r="N4" s="202"/>
      <c r="O4" s="202">
        <v>2015</v>
      </c>
      <c r="P4" s="202"/>
      <c r="Q4" s="40"/>
      <c r="R4" s="203">
        <v>2014</v>
      </c>
      <c r="S4" s="203"/>
      <c r="T4" s="40"/>
    </row>
    <row r="5" spans="1:20" x14ac:dyDescent="0.25">
      <c r="G5" s="174" t="s">
        <v>80</v>
      </c>
      <c r="H5" s="174" t="s">
        <v>81</v>
      </c>
      <c r="I5" s="134" t="s">
        <v>80</v>
      </c>
      <c r="J5" s="134" t="s">
        <v>81</v>
      </c>
      <c r="K5" s="99" t="s">
        <v>80</v>
      </c>
      <c r="L5" s="99" t="s">
        <v>81</v>
      </c>
      <c r="M5" s="65" t="s">
        <v>80</v>
      </c>
      <c r="N5" s="65" t="s">
        <v>81</v>
      </c>
      <c r="O5" s="37" t="s">
        <v>80</v>
      </c>
      <c r="P5" s="37" t="s">
        <v>81</v>
      </c>
      <c r="Q5" s="45"/>
      <c r="R5" s="46" t="s">
        <v>80</v>
      </c>
      <c r="S5" s="46" t="s">
        <v>81</v>
      </c>
      <c r="T5" s="40"/>
    </row>
    <row r="6" spans="1:20" x14ac:dyDescent="0.25">
      <c r="B6" s="6"/>
      <c r="C6" s="21" t="s">
        <v>82</v>
      </c>
      <c r="D6" s="7"/>
      <c r="E6" s="7"/>
      <c r="F6" s="7"/>
      <c r="G6" s="14"/>
      <c r="H6" s="14"/>
      <c r="I6" s="14"/>
      <c r="J6" s="14"/>
      <c r="K6" s="14"/>
      <c r="L6" s="14"/>
      <c r="M6" s="15"/>
      <c r="N6" s="15"/>
      <c r="O6" s="15"/>
      <c r="P6" s="15"/>
      <c r="Q6" s="40"/>
      <c r="R6" s="47"/>
      <c r="S6" s="47"/>
      <c r="T6" s="40"/>
    </row>
    <row r="7" spans="1:20" x14ac:dyDescent="0.25">
      <c r="B7" s="9" t="s">
        <v>83</v>
      </c>
      <c r="C7" s="10"/>
      <c r="D7" s="10"/>
      <c r="E7" s="10"/>
      <c r="F7" s="10"/>
      <c r="G7" s="19">
        <v>643559</v>
      </c>
      <c r="H7" s="19"/>
      <c r="I7" s="19">
        <v>443374</v>
      </c>
      <c r="J7" s="19"/>
      <c r="K7" s="19">
        <v>386373</v>
      </c>
      <c r="L7" s="19"/>
      <c r="M7" s="19">
        <v>323638</v>
      </c>
      <c r="N7" s="19"/>
      <c r="O7" s="19">
        <v>942254</v>
      </c>
      <c r="P7" s="19"/>
      <c r="Q7" s="42"/>
      <c r="R7" s="39">
        <v>679872</v>
      </c>
      <c r="S7" s="39"/>
      <c r="T7" s="40"/>
    </row>
    <row r="8" spans="1:20" hidden="1" x14ac:dyDescent="0.25">
      <c r="B8" s="24" t="s">
        <v>186</v>
      </c>
      <c r="C8" s="10"/>
      <c r="D8" s="10"/>
      <c r="E8" s="10"/>
      <c r="F8" s="10"/>
      <c r="G8" s="19"/>
      <c r="H8" s="19"/>
      <c r="I8" s="19"/>
      <c r="J8" s="19"/>
      <c r="K8" s="19"/>
      <c r="L8" s="19"/>
      <c r="M8" s="19"/>
      <c r="N8" s="19"/>
      <c r="O8" s="19">
        <f>+P9-O7</f>
        <v>113005</v>
      </c>
      <c r="P8" s="19"/>
      <c r="Q8" s="42"/>
      <c r="R8" s="39"/>
      <c r="S8" s="39">
        <f>+R7-S9</f>
        <v>16101</v>
      </c>
      <c r="T8" s="40"/>
    </row>
    <row r="9" spans="1:20" x14ac:dyDescent="0.25">
      <c r="B9" s="9" t="s">
        <v>84</v>
      </c>
      <c r="C9" s="10"/>
      <c r="D9" s="10"/>
      <c r="E9" s="10"/>
      <c r="F9" s="10"/>
      <c r="G9" s="19"/>
      <c r="H9" s="19">
        <v>643559</v>
      </c>
      <c r="I9" s="19"/>
      <c r="J9" s="19">
        <f>+I7</f>
        <v>443374</v>
      </c>
      <c r="K9" s="19"/>
      <c r="L9" s="19">
        <f>+K7</f>
        <v>386373</v>
      </c>
      <c r="M9" s="19"/>
      <c r="N9" s="19">
        <f>+M7</f>
        <v>323638</v>
      </c>
      <c r="O9" s="19"/>
      <c r="P9" s="19">
        <v>1055259</v>
      </c>
      <c r="Q9" s="42"/>
      <c r="R9" s="39"/>
      <c r="S9" s="39">
        <v>663771</v>
      </c>
      <c r="T9" s="40"/>
    </row>
    <row r="10" spans="1:20" x14ac:dyDescent="0.25">
      <c r="B10" s="9" t="s">
        <v>85</v>
      </c>
      <c r="C10" s="10"/>
      <c r="D10" s="10"/>
      <c r="E10" s="10"/>
      <c r="F10" s="10"/>
      <c r="G10" s="19"/>
      <c r="H10" s="19"/>
      <c r="I10" s="19"/>
      <c r="J10" s="19"/>
      <c r="K10" s="19"/>
      <c r="L10" s="19"/>
      <c r="M10" s="19"/>
      <c r="N10" s="19"/>
      <c r="O10" s="19"/>
      <c r="P10" s="19"/>
      <c r="Q10" s="42"/>
      <c r="R10" s="39"/>
      <c r="S10" s="39"/>
      <c r="T10" s="40"/>
    </row>
    <row r="11" spans="1:20" x14ac:dyDescent="0.25">
      <c r="B11" s="22"/>
      <c r="C11" s="12"/>
      <c r="D11" s="12"/>
      <c r="E11" s="12"/>
      <c r="F11" s="12" t="s">
        <v>153</v>
      </c>
      <c r="G11" s="20">
        <f t="shared" ref="G11:J11" si="0">SUM(G7:G10)</f>
        <v>643559</v>
      </c>
      <c r="H11" s="20">
        <f t="shared" si="0"/>
        <v>643559</v>
      </c>
      <c r="I11" s="20">
        <f t="shared" si="0"/>
        <v>443374</v>
      </c>
      <c r="J11" s="20">
        <f t="shared" si="0"/>
        <v>443374</v>
      </c>
      <c r="K11" s="20">
        <f t="shared" ref="K11:L11" si="1">SUM(K7:K10)</f>
        <v>386373</v>
      </c>
      <c r="L11" s="20">
        <f t="shared" si="1"/>
        <v>386373</v>
      </c>
      <c r="M11" s="20">
        <f t="shared" ref="M11:P11" si="2">SUM(M7:M10)</f>
        <v>323638</v>
      </c>
      <c r="N11" s="20">
        <f t="shared" si="2"/>
        <v>323638</v>
      </c>
      <c r="O11" s="20">
        <f t="shared" si="2"/>
        <v>1055259</v>
      </c>
      <c r="P11" s="20">
        <f t="shared" si="2"/>
        <v>1055259</v>
      </c>
      <c r="Q11" s="42"/>
      <c r="R11" s="48">
        <f>SUM(R7:R10)</f>
        <v>679872</v>
      </c>
      <c r="S11" s="48">
        <f>SUM(S7:S10)</f>
        <v>679872</v>
      </c>
      <c r="T11" s="40"/>
    </row>
    <row r="12" spans="1:20" x14ac:dyDescent="0.25">
      <c r="B12" s="6"/>
      <c r="C12" s="21" t="s">
        <v>86</v>
      </c>
      <c r="D12" s="7"/>
      <c r="E12" s="7"/>
      <c r="F12" s="7"/>
      <c r="G12" s="14"/>
      <c r="H12" s="14"/>
      <c r="I12" s="14"/>
      <c r="J12" s="14"/>
      <c r="K12" s="14"/>
      <c r="L12" s="14"/>
      <c r="M12" s="23"/>
      <c r="N12" s="23"/>
      <c r="O12" s="23"/>
      <c r="P12" s="23"/>
      <c r="Q12" s="42"/>
      <c r="R12" s="49"/>
      <c r="S12" s="49"/>
      <c r="T12" s="40"/>
    </row>
    <row r="13" spans="1:20" x14ac:dyDescent="0.25">
      <c r="B13" s="9" t="s">
        <v>355</v>
      </c>
      <c r="C13" s="10"/>
      <c r="D13" s="10"/>
      <c r="E13" s="10"/>
      <c r="F13" s="10"/>
      <c r="G13" s="19">
        <v>12478474</v>
      </c>
      <c r="H13" s="19"/>
      <c r="I13" s="19">
        <v>10682418</v>
      </c>
      <c r="J13" s="19"/>
      <c r="K13" s="19">
        <v>5099200</v>
      </c>
      <c r="L13" s="19"/>
      <c r="M13" s="19">
        <v>7790426</v>
      </c>
      <c r="N13" s="19"/>
      <c r="O13" s="19">
        <v>2148793</v>
      </c>
      <c r="P13" s="19"/>
      <c r="Q13" s="42"/>
      <c r="R13" s="39">
        <v>1912184</v>
      </c>
      <c r="S13" s="39"/>
      <c r="T13" s="40"/>
    </row>
    <row r="14" spans="1:20" x14ac:dyDescent="0.25">
      <c r="B14" s="180" t="s">
        <v>352</v>
      </c>
      <c r="C14" s="105"/>
      <c r="D14" s="105"/>
      <c r="E14" s="105"/>
      <c r="F14" s="105"/>
      <c r="G14" s="64">
        <v>1914135</v>
      </c>
      <c r="H14" s="19"/>
      <c r="I14" s="19"/>
      <c r="J14" s="19"/>
      <c r="K14" s="19"/>
      <c r="L14" s="19"/>
      <c r="M14" s="19">
        <f>-M13-M16+N17</f>
        <v>470203</v>
      </c>
      <c r="N14" s="19"/>
      <c r="O14" s="19">
        <f>+P17-O13</f>
        <v>138060</v>
      </c>
      <c r="P14" s="19"/>
      <c r="Q14" s="42"/>
      <c r="R14" s="39">
        <f>+S17-R13</f>
        <v>890196</v>
      </c>
      <c r="S14" s="39"/>
      <c r="T14" s="40"/>
    </row>
    <row r="15" spans="1:20" x14ac:dyDescent="0.25">
      <c r="B15" s="43" t="s">
        <v>328</v>
      </c>
      <c r="C15" s="10"/>
      <c r="D15" s="10"/>
      <c r="E15" s="10"/>
      <c r="F15" s="10"/>
      <c r="G15" s="19"/>
      <c r="H15" s="19"/>
      <c r="I15" s="19"/>
      <c r="J15" s="19">
        <f>10820478-10764779</f>
        <v>55699</v>
      </c>
      <c r="K15" s="19">
        <f>-K13-K16+L17</f>
        <v>12940</v>
      </c>
      <c r="L15" s="19"/>
      <c r="M15" s="19"/>
      <c r="N15" s="19"/>
      <c r="O15" s="19"/>
      <c r="P15" s="19"/>
      <c r="Q15" s="42"/>
      <c r="R15" s="39"/>
      <c r="S15" s="39"/>
      <c r="T15" s="40"/>
    </row>
    <row r="16" spans="1:20" x14ac:dyDescent="0.25">
      <c r="B16" s="24" t="s">
        <v>187</v>
      </c>
      <c r="C16" s="10"/>
      <c r="D16" s="10"/>
      <c r="E16" s="10"/>
      <c r="F16" s="10"/>
      <c r="G16" s="19"/>
      <c r="H16" s="19"/>
      <c r="I16" s="19">
        <v>138060</v>
      </c>
      <c r="J16" s="19"/>
      <c r="K16" s="19">
        <v>138060</v>
      </c>
      <c r="L16" s="19"/>
      <c r="M16" s="19">
        <f>+O14</f>
        <v>138060</v>
      </c>
      <c r="N16" s="19"/>
      <c r="O16" s="19"/>
      <c r="P16" s="19"/>
      <c r="Q16" s="42"/>
      <c r="R16" s="39"/>
      <c r="S16" s="39"/>
      <c r="T16" s="40"/>
    </row>
    <row r="17" spans="2:21" x14ac:dyDescent="0.25">
      <c r="B17" s="26" t="s">
        <v>351</v>
      </c>
      <c r="C17" s="41"/>
      <c r="D17" s="41"/>
      <c r="E17" s="41"/>
      <c r="F17" s="41"/>
      <c r="G17" s="39"/>
      <c r="H17" s="39">
        <v>14392609</v>
      </c>
      <c r="I17" s="19"/>
      <c r="J17" s="39">
        <v>10764779</v>
      </c>
      <c r="K17" s="19"/>
      <c r="L17" s="19">
        <v>5250200</v>
      </c>
      <c r="M17" s="19"/>
      <c r="N17" s="19">
        <v>8398689</v>
      </c>
      <c r="O17" s="19"/>
      <c r="P17" s="19">
        <v>2286853</v>
      </c>
      <c r="Q17" s="42"/>
      <c r="R17" s="39"/>
      <c r="S17" s="39">
        <v>2802380</v>
      </c>
      <c r="T17" s="40"/>
    </row>
    <row r="18" spans="2:21" x14ac:dyDescent="0.25">
      <c r="B18" s="9" t="s">
        <v>87</v>
      </c>
      <c r="C18" s="10"/>
      <c r="D18" s="10"/>
      <c r="E18" s="10"/>
      <c r="F18" s="10"/>
      <c r="G18" s="19"/>
      <c r="H18" s="19"/>
      <c r="I18" s="19"/>
      <c r="J18" s="19"/>
      <c r="K18" s="19"/>
      <c r="L18" s="19"/>
      <c r="M18" s="19"/>
      <c r="N18" s="19"/>
      <c r="O18" s="19"/>
      <c r="P18" s="19"/>
      <c r="Q18" s="42"/>
      <c r="R18" s="39"/>
      <c r="S18" s="39"/>
      <c r="T18" s="40"/>
    </row>
    <row r="19" spans="2:21" x14ac:dyDescent="0.25">
      <c r="B19" s="22"/>
      <c r="C19" s="12"/>
      <c r="D19" s="12"/>
      <c r="E19" s="12"/>
      <c r="F19" s="12" t="s">
        <v>153</v>
      </c>
      <c r="G19" s="20">
        <f>SUM(G13:G18)</f>
        <v>14392609</v>
      </c>
      <c r="H19" s="20">
        <f t="shared" ref="H19:J19" si="3">SUM(H12:H17)</f>
        <v>14392609</v>
      </c>
      <c r="I19" s="20">
        <f t="shared" si="3"/>
        <v>10820478</v>
      </c>
      <c r="J19" s="20">
        <f t="shared" si="3"/>
        <v>10820478</v>
      </c>
      <c r="K19" s="20">
        <f t="shared" ref="K19:L19" si="4">SUM(K12:K17)</f>
        <v>5250200</v>
      </c>
      <c r="L19" s="20">
        <f t="shared" si="4"/>
        <v>5250200</v>
      </c>
      <c r="M19" s="20">
        <f t="shared" ref="M19:P19" si="5">SUM(M12:M17)</f>
        <v>8398689</v>
      </c>
      <c r="N19" s="20">
        <f t="shared" si="5"/>
        <v>8398689</v>
      </c>
      <c r="O19" s="20">
        <f t="shared" si="5"/>
        <v>2286853</v>
      </c>
      <c r="P19" s="20">
        <f t="shared" si="5"/>
        <v>2286853</v>
      </c>
      <c r="Q19" s="42"/>
      <c r="R19" s="48">
        <f>SUM(R12:R17)</f>
        <v>2802380</v>
      </c>
      <c r="S19" s="48">
        <f>SUM(S12:S17)</f>
        <v>2802380</v>
      </c>
      <c r="T19" s="40"/>
    </row>
    <row r="20" spans="2:21" x14ac:dyDescent="0.25">
      <c r="B20" s="6"/>
      <c r="C20" s="21" t="s">
        <v>88</v>
      </c>
      <c r="D20" s="7"/>
      <c r="E20" s="7"/>
      <c r="F20" s="7"/>
      <c r="G20" s="179">
        <f>+H19-G19</f>
        <v>0</v>
      </c>
      <c r="H20" s="14"/>
      <c r="I20" s="14"/>
      <c r="J20" s="14"/>
      <c r="K20" s="14"/>
      <c r="L20" s="14"/>
      <c r="M20" s="23"/>
      <c r="N20" s="23"/>
      <c r="O20" s="23"/>
      <c r="P20" s="23"/>
      <c r="Q20" s="42"/>
      <c r="R20" s="49"/>
      <c r="S20" s="49"/>
      <c r="T20" s="44"/>
    </row>
    <row r="21" spans="2:21" x14ac:dyDescent="0.25">
      <c r="B21" s="9" t="s">
        <v>90</v>
      </c>
      <c r="C21" s="10"/>
      <c r="D21" s="10"/>
      <c r="E21" s="10"/>
      <c r="F21" s="10"/>
      <c r="G21" s="19">
        <v>92592770</v>
      </c>
      <c r="H21" s="19"/>
      <c r="I21" s="19">
        <v>74521538</v>
      </c>
      <c r="J21" s="19"/>
      <c r="K21" s="19">
        <v>51723340</v>
      </c>
      <c r="L21" s="19"/>
      <c r="M21" s="19">
        <f>+N22+N23+N24</f>
        <v>42471624</v>
      </c>
      <c r="N21" s="19"/>
      <c r="O21" s="19">
        <v>20619081</v>
      </c>
      <c r="P21" s="19"/>
      <c r="Q21" s="42"/>
      <c r="R21" s="39">
        <v>13229677</v>
      </c>
      <c r="S21" s="39"/>
      <c r="T21" s="42"/>
      <c r="U21" s="38"/>
    </row>
    <row r="22" spans="2:21" x14ac:dyDescent="0.25">
      <c r="B22" s="176" t="s">
        <v>207</v>
      </c>
      <c r="C22" s="41"/>
      <c r="D22" s="41"/>
      <c r="E22" s="41"/>
      <c r="F22" s="41"/>
      <c r="G22" s="39"/>
      <c r="H22" s="39">
        <v>8203260</v>
      </c>
      <c r="I22" s="19"/>
      <c r="J22" s="19">
        <v>5827272</v>
      </c>
      <c r="K22" s="19"/>
      <c r="L22" s="19">
        <v>7144181</v>
      </c>
      <c r="M22" s="19"/>
      <c r="N22" s="19">
        <v>15846166</v>
      </c>
      <c r="O22" s="19"/>
      <c r="P22" s="19">
        <v>5738082</v>
      </c>
      <c r="Q22" s="42"/>
      <c r="R22" s="39"/>
      <c r="S22" s="39">
        <v>1475332</v>
      </c>
      <c r="T22" s="40"/>
      <c r="U22" s="38"/>
    </row>
    <row r="23" spans="2:21" x14ac:dyDescent="0.25">
      <c r="B23" s="26" t="s">
        <v>91</v>
      </c>
      <c r="C23" s="41"/>
      <c r="D23" s="41"/>
      <c r="E23" s="41"/>
      <c r="F23" s="41"/>
      <c r="G23" s="39"/>
      <c r="H23" s="39">
        <f>+G21-H22</f>
        <v>84389510</v>
      </c>
      <c r="I23" s="39"/>
      <c r="J23" s="39">
        <f>+I21-J22</f>
        <v>68694266</v>
      </c>
      <c r="K23" s="39"/>
      <c r="L23" s="39">
        <f>+K21-L22</f>
        <v>44579159</v>
      </c>
      <c r="M23" s="19"/>
      <c r="N23" s="19">
        <f>7436996+18578188+610274</f>
        <v>26625458</v>
      </c>
      <c r="O23" s="19"/>
      <c r="P23" s="19">
        <f>+O21-P22-P24</f>
        <v>11460999</v>
      </c>
      <c r="Q23" s="42"/>
      <c r="R23" s="39"/>
      <c r="S23" s="39">
        <f>+R21-S22-S24</f>
        <v>11337419</v>
      </c>
      <c r="T23" s="40"/>
      <c r="U23" s="38"/>
    </row>
    <row r="24" spans="2:21" hidden="1" x14ac:dyDescent="0.25">
      <c r="B24" s="26" t="s">
        <v>92</v>
      </c>
      <c r="C24" s="41"/>
      <c r="D24" s="41"/>
      <c r="E24" s="41"/>
      <c r="F24" s="41"/>
      <c r="G24" s="39"/>
      <c r="H24" s="39"/>
      <c r="I24" s="39"/>
      <c r="J24" s="39"/>
      <c r="K24" s="39"/>
      <c r="L24" s="39"/>
      <c r="M24" s="19"/>
      <c r="N24" s="39">
        <v>0</v>
      </c>
      <c r="O24" s="19"/>
      <c r="P24" s="19">
        <v>3420000</v>
      </c>
      <c r="Q24" s="42"/>
      <c r="R24" s="39"/>
      <c r="S24" s="39">
        <v>416926</v>
      </c>
      <c r="T24" s="44"/>
    </row>
    <row r="25" spans="2:21" x14ac:dyDescent="0.25">
      <c r="B25" s="9" t="s">
        <v>93</v>
      </c>
      <c r="C25" s="10"/>
      <c r="D25" s="10"/>
      <c r="E25" s="10"/>
      <c r="F25" s="10"/>
      <c r="G25" s="19"/>
      <c r="H25" s="19"/>
      <c r="I25" s="19"/>
      <c r="J25" s="19"/>
      <c r="K25" s="19"/>
      <c r="L25" s="19"/>
      <c r="M25" s="19"/>
      <c r="N25" s="19"/>
      <c r="O25" s="19"/>
      <c r="P25" s="19"/>
      <c r="Q25" s="42"/>
      <c r="R25" s="39"/>
      <c r="S25" s="39"/>
      <c r="T25" s="40"/>
      <c r="U25" s="4"/>
    </row>
    <row r="26" spans="2:21" x14ac:dyDescent="0.25">
      <c r="B26" s="22"/>
      <c r="C26" s="12"/>
      <c r="D26" s="12"/>
      <c r="E26" s="12"/>
      <c r="F26" s="12" t="s">
        <v>153</v>
      </c>
      <c r="G26" s="20">
        <f t="shared" ref="G26:H26" si="6">SUM(G20:G23)</f>
        <v>92592770</v>
      </c>
      <c r="H26" s="20">
        <f t="shared" si="6"/>
        <v>92592770</v>
      </c>
      <c r="I26" s="20">
        <f>SUM(I20:I23)</f>
        <v>74521538</v>
      </c>
      <c r="J26" s="20">
        <f>SUM(J20:J24)</f>
        <v>74521538</v>
      </c>
      <c r="K26" s="20">
        <f>SUM(K20:K23)</f>
        <v>51723340</v>
      </c>
      <c r="L26" s="20">
        <f>SUM(L20:L24)</f>
        <v>51723340</v>
      </c>
      <c r="M26" s="20">
        <f>SUM(M20:M23)</f>
        <v>42471624</v>
      </c>
      <c r="N26" s="20">
        <f>SUM(N20:N24)</f>
        <v>42471624</v>
      </c>
      <c r="O26" s="20">
        <f>SUM(O20:O23)</f>
        <v>20619081</v>
      </c>
      <c r="P26" s="20">
        <f>SUM(P20:P24)</f>
        <v>20619081</v>
      </c>
      <c r="Q26" s="42"/>
      <c r="R26" s="48">
        <f>SUM(R20:R23)</f>
        <v>13229677</v>
      </c>
      <c r="S26" s="48">
        <f>SUM(S20:S24)</f>
        <v>13229677</v>
      </c>
      <c r="T26" s="40"/>
    </row>
    <row r="27" spans="2:21" x14ac:dyDescent="0.25">
      <c r="B27" s="6"/>
      <c r="C27" s="21" t="s">
        <v>94</v>
      </c>
      <c r="D27" s="7"/>
      <c r="E27" s="7"/>
      <c r="F27" s="7"/>
      <c r="G27" s="14"/>
      <c r="H27" s="14"/>
      <c r="I27" s="14"/>
      <c r="J27" s="14"/>
      <c r="K27" s="14"/>
      <c r="L27" s="14"/>
      <c r="M27" s="23"/>
      <c r="N27" s="23"/>
      <c r="O27" s="23"/>
      <c r="P27" s="23"/>
      <c r="Q27" s="42"/>
      <c r="R27" s="49"/>
      <c r="S27" s="49"/>
      <c r="T27" s="40"/>
    </row>
    <row r="28" spans="2:21" x14ac:dyDescent="0.25">
      <c r="B28" s="24" t="s">
        <v>89</v>
      </c>
      <c r="C28" s="10"/>
      <c r="D28" s="10"/>
      <c r="E28" s="10"/>
      <c r="F28" s="10"/>
      <c r="G28" s="39">
        <f>2053333+2566667</f>
        <v>4620000</v>
      </c>
      <c r="H28" s="19"/>
      <c r="I28" s="19">
        <f>5360186+727881</f>
        <v>6088067</v>
      </c>
      <c r="J28" s="19"/>
      <c r="K28" s="19">
        <v>656393</v>
      </c>
      <c r="L28" s="19"/>
      <c r="M28" s="19">
        <v>352755</v>
      </c>
      <c r="N28" s="19"/>
      <c r="O28" s="19">
        <v>5642042</v>
      </c>
      <c r="P28" s="19"/>
      <c r="Q28" s="42"/>
      <c r="R28" s="39">
        <v>1187953</v>
      </c>
      <c r="S28" s="39"/>
      <c r="T28" s="40"/>
    </row>
    <row r="29" spans="2:21" x14ac:dyDescent="0.25">
      <c r="B29" s="43" t="s">
        <v>350</v>
      </c>
      <c r="C29" s="41"/>
      <c r="D29" s="41"/>
      <c r="E29" s="41"/>
      <c r="F29" s="41"/>
      <c r="G29" s="39">
        <v>15292925</v>
      </c>
      <c r="H29" s="19"/>
      <c r="I29" s="39"/>
      <c r="J29" s="19"/>
      <c r="K29" s="39"/>
      <c r="L29" s="19"/>
      <c r="M29" s="39"/>
      <c r="N29" s="19"/>
      <c r="O29" s="19">
        <v>202251</v>
      </c>
      <c r="P29" s="19"/>
      <c r="Q29" s="42"/>
      <c r="R29" s="39">
        <v>682574</v>
      </c>
      <c r="S29" s="39"/>
      <c r="T29" s="40"/>
    </row>
    <row r="30" spans="2:21" s="40" customFormat="1" x14ac:dyDescent="0.25">
      <c r="B30" s="26" t="s">
        <v>96</v>
      </c>
      <c r="C30" s="41"/>
      <c r="D30" s="41"/>
      <c r="E30" s="41"/>
      <c r="F30" s="41"/>
      <c r="G30" s="42"/>
      <c r="H30" s="39"/>
      <c r="I30" s="39">
        <v>4546528</v>
      </c>
      <c r="J30" s="39"/>
      <c r="K30" s="39">
        <v>2251425</v>
      </c>
      <c r="L30" s="39"/>
      <c r="M30" s="39">
        <v>4279500</v>
      </c>
      <c r="N30" s="39"/>
      <c r="O30" s="39">
        <v>1260000</v>
      </c>
      <c r="P30" s="39"/>
      <c r="Q30" s="42"/>
      <c r="R30" s="39">
        <v>0</v>
      </c>
      <c r="S30" s="39"/>
    </row>
    <row r="31" spans="2:21" s="40" customFormat="1" hidden="1" x14ac:dyDescent="0.25">
      <c r="B31" s="26" t="s">
        <v>265</v>
      </c>
      <c r="C31" s="41"/>
      <c r="D31" s="41"/>
      <c r="E31" s="41"/>
      <c r="F31" s="41"/>
      <c r="G31" s="39"/>
      <c r="H31" s="39"/>
      <c r="I31" s="39"/>
      <c r="J31" s="39"/>
      <c r="K31" s="39">
        <v>2148000</v>
      </c>
      <c r="L31" s="39"/>
      <c r="M31" s="39">
        <v>2627700</v>
      </c>
      <c r="N31" s="39"/>
      <c r="O31" s="39"/>
      <c r="P31" s="39"/>
      <c r="Q31" s="42"/>
      <c r="R31" s="39"/>
      <c r="S31" s="39"/>
    </row>
    <row r="32" spans="2:21" s="40" customFormat="1" hidden="1" x14ac:dyDescent="0.25">
      <c r="B32" s="9" t="s">
        <v>188</v>
      </c>
      <c r="C32" s="41"/>
      <c r="D32" s="41"/>
      <c r="E32" s="41"/>
      <c r="F32" s="41"/>
      <c r="G32" s="39"/>
      <c r="H32" s="39"/>
      <c r="I32" s="39"/>
      <c r="J32" s="39"/>
      <c r="K32" s="39"/>
      <c r="L32" s="39"/>
      <c r="M32" s="39">
        <f>+O33</f>
        <v>167629</v>
      </c>
      <c r="N32" s="39"/>
      <c r="O32" s="39"/>
      <c r="P32" s="39"/>
      <c r="Q32" s="42"/>
      <c r="R32" s="39"/>
      <c r="S32" s="39"/>
    </row>
    <row r="33" spans="2:20" s="40" customFormat="1" hidden="1" x14ac:dyDescent="0.25">
      <c r="B33" s="43" t="s">
        <v>232</v>
      </c>
      <c r="C33" s="41"/>
      <c r="D33" s="41"/>
      <c r="E33" s="41"/>
      <c r="F33" s="41"/>
      <c r="G33" s="39"/>
      <c r="H33" s="39"/>
      <c r="I33" s="39"/>
      <c r="J33" s="39"/>
      <c r="K33" s="39"/>
      <c r="L33" s="39"/>
      <c r="M33" s="39"/>
      <c r="N33" s="39"/>
      <c r="O33" s="39">
        <f>+P35-7104293</f>
        <v>167629</v>
      </c>
      <c r="P33" s="39"/>
      <c r="Q33" s="42"/>
      <c r="R33" s="39"/>
      <c r="S33" s="39">
        <f>1870527-S35</f>
        <v>777882</v>
      </c>
    </row>
    <row r="34" spans="2:20" s="40" customFormat="1" x14ac:dyDescent="0.25">
      <c r="B34" s="43" t="s">
        <v>233</v>
      </c>
      <c r="C34" s="41"/>
      <c r="D34" s="41"/>
      <c r="E34" s="41"/>
      <c r="F34" s="41"/>
      <c r="G34" s="39"/>
      <c r="H34" s="39"/>
      <c r="I34" s="39">
        <f>+J35-I28-I30</f>
        <v>315332</v>
      </c>
      <c r="J34" s="39"/>
      <c r="K34" s="39"/>
      <c r="L34" s="39"/>
      <c r="M34" s="39">
        <f>7447200-7427584</f>
        <v>19616</v>
      </c>
      <c r="N34" s="39"/>
      <c r="O34" s="39"/>
      <c r="P34" s="39"/>
      <c r="Q34" s="42"/>
      <c r="R34" s="39"/>
      <c r="S34" s="39"/>
      <c r="T34" s="44"/>
    </row>
    <row r="35" spans="2:20" x14ac:dyDescent="0.25">
      <c r="B35" s="9" t="s">
        <v>349</v>
      </c>
      <c r="C35" s="10"/>
      <c r="D35" s="10"/>
      <c r="E35" s="10"/>
      <c r="F35" s="10"/>
      <c r="G35" s="19"/>
      <c r="H35" s="19">
        <v>19912925</v>
      </c>
      <c r="I35" s="19"/>
      <c r="J35" s="19">
        <v>10949927</v>
      </c>
      <c r="K35" s="19"/>
      <c r="L35" s="19">
        <v>5055818</v>
      </c>
      <c r="M35" s="19"/>
      <c r="N35" s="19">
        <f>7177200+270000</f>
        <v>7447200</v>
      </c>
      <c r="O35" s="19"/>
      <c r="P35" s="19">
        <v>7271922</v>
      </c>
      <c r="Q35" s="42"/>
      <c r="R35" s="39"/>
      <c r="S35" s="39">
        <v>1092645</v>
      </c>
      <c r="T35" s="44"/>
    </row>
    <row r="36" spans="2:20" x14ac:dyDescent="0.25">
      <c r="B36" s="9" t="s">
        <v>87</v>
      </c>
      <c r="C36" s="10"/>
      <c r="D36" s="10"/>
      <c r="E36" s="10"/>
      <c r="F36" s="10"/>
      <c r="G36" s="19"/>
      <c r="H36" s="19"/>
      <c r="I36" s="19"/>
      <c r="J36" s="19"/>
      <c r="K36" s="19"/>
      <c r="L36" s="19"/>
      <c r="M36" s="19"/>
      <c r="N36" s="19"/>
      <c r="O36" s="19"/>
      <c r="P36" s="19"/>
      <c r="Q36" s="42"/>
      <c r="R36" s="39"/>
      <c r="S36" s="39"/>
      <c r="T36" s="40"/>
    </row>
    <row r="37" spans="2:20" x14ac:dyDescent="0.25">
      <c r="B37" s="22"/>
      <c r="C37" s="12"/>
      <c r="D37" s="12"/>
      <c r="E37" s="12"/>
      <c r="F37" s="13" t="s">
        <v>153</v>
      </c>
      <c r="G37" s="20">
        <f>SUM(G28:G35)</f>
        <v>19912925</v>
      </c>
      <c r="H37" s="20">
        <f>SUM(H28:H35)</f>
        <v>19912925</v>
      </c>
      <c r="I37" s="20">
        <f t="shared" ref="I37:P37" si="7">SUM(I27:I35)</f>
        <v>10949927</v>
      </c>
      <c r="J37" s="20">
        <f t="shared" si="7"/>
        <v>10949927</v>
      </c>
      <c r="K37" s="20">
        <f t="shared" si="7"/>
        <v>5055818</v>
      </c>
      <c r="L37" s="20">
        <f t="shared" si="7"/>
        <v>5055818</v>
      </c>
      <c r="M37" s="20">
        <f t="shared" si="7"/>
        <v>7447200</v>
      </c>
      <c r="N37" s="20">
        <f t="shared" si="7"/>
        <v>7447200</v>
      </c>
      <c r="O37" s="20">
        <f t="shared" si="7"/>
        <v>7271922</v>
      </c>
      <c r="P37" s="20">
        <f t="shared" si="7"/>
        <v>7271922</v>
      </c>
      <c r="Q37" s="42"/>
      <c r="R37" s="48">
        <f>SUM(R27:R35)</f>
        <v>1870527</v>
      </c>
      <c r="S37" s="48">
        <f>SUM(S27:S35)</f>
        <v>1870527</v>
      </c>
      <c r="T37" s="40"/>
    </row>
    <row r="38" spans="2:20" x14ac:dyDescent="0.25">
      <c r="B38" s="9"/>
      <c r="C38" s="76" t="s">
        <v>95</v>
      </c>
      <c r="D38" s="10"/>
      <c r="E38" s="10"/>
      <c r="F38" s="10"/>
      <c r="G38" s="29"/>
      <c r="H38" s="15"/>
      <c r="I38" s="15"/>
      <c r="J38" s="15"/>
      <c r="K38" s="15"/>
      <c r="L38" s="15"/>
      <c r="M38" s="23"/>
      <c r="N38" s="23"/>
      <c r="O38" s="23"/>
      <c r="P38" s="23"/>
      <c r="Q38" s="75"/>
      <c r="R38" s="50"/>
      <c r="S38" s="49"/>
      <c r="T38" s="40"/>
    </row>
    <row r="39" spans="2:20" x14ac:dyDescent="0.25">
      <c r="B39" s="26" t="s">
        <v>196</v>
      </c>
      <c r="C39" s="41"/>
      <c r="D39" s="41"/>
      <c r="E39" s="41"/>
      <c r="F39" s="41"/>
      <c r="G39" s="39">
        <v>9636341</v>
      </c>
      <c r="H39" s="39"/>
      <c r="I39" s="39">
        <v>9726442</v>
      </c>
      <c r="J39" s="39"/>
      <c r="K39" s="39">
        <f>+L40</f>
        <v>8402210</v>
      </c>
      <c r="L39" s="39"/>
      <c r="M39" s="39">
        <f>+'PP&amp;E'!J18</f>
        <v>3922517.4766000002</v>
      </c>
      <c r="N39" s="39"/>
      <c r="O39" s="19"/>
      <c r="P39" s="19"/>
      <c r="Q39" s="75"/>
      <c r="R39" s="51"/>
      <c r="S39" s="39"/>
      <c r="T39" s="40"/>
    </row>
    <row r="40" spans="2:20" x14ac:dyDescent="0.25">
      <c r="B40" s="26" t="s">
        <v>204</v>
      </c>
      <c r="C40" s="41"/>
      <c r="D40" s="41"/>
      <c r="E40" s="41"/>
      <c r="F40" s="41"/>
      <c r="G40" s="39"/>
      <c r="H40" s="39">
        <v>9636341</v>
      </c>
      <c r="I40" s="39"/>
      <c r="J40" s="39">
        <f>+I39</f>
        <v>9726442</v>
      </c>
      <c r="K40" s="39"/>
      <c r="L40" s="39">
        <v>8402210</v>
      </c>
      <c r="M40" s="39"/>
      <c r="N40" s="39">
        <f>+M39</f>
        <v>3922517.4766000002</v>
      </c>
      <c r="O40" s="19"/>
      <c r="P40" s="19"/>
      <c r="Q40" s="75"/>
      <c r="R40" s="51"/>
      <c r="S40" s="39"/>
      <c r="T40" s="40"/>
    </row>
    <row r="41" spans="2:20" ht="29.45" customHeight="1" x14ac:dyDescent="0.25">
      <c r="B41" s="204" t="s">
        <v>230</v>
      </c>
      <c r="C41" s="186"/>
      <c r="D41" s="186"/>
      <c r="E41" s="186"/>
      <c r="F41" s="186"/>
      <c r="G41" s="19"/>
      <c r="H41" s="19"/>
      <c r="I41" s="19"/>
      <c r="J41" s="19"/>
      <c r="K41" s="19"/>
      <c r="L41" s="19"/>
      <c r="M41" s="19"/>
      <c r="N41" s="19"/>
      <c r="O41" s="19"/>
      <c r="P41" s="19"/>
      <c r="Q41" s="75"/>
      <c r="R41" s="51"/>
      <c r="S41" s="39"/>
      <c r="T41" s="40"/>
    </row>
    <row r="42" spans="2:20" x14ac:dyDescent="0.25">
      <c r="B42" s="9"/>
      <c r="C42" s="10"/>
      <c r="D42" s="10"/>
      <c r="E42" s="10"/>
      <c r="F42" s="10" t="s">
        <v>153</v>
      </c>
      <c r="G42" s="20">
        <f>+G39+G40</f>
        <v>9636341</v>
      </c>
      <c r="H42" s="20">
        <f>+H39+H40</f>
        <v>9636341</v>
      </c>
      <c r="I42" s="20">
        <f>+I39</f>
        <v>9726442</v>
      </c>
      <c r="J42" s="20">
        <f>+J40</f>
        <v>9726442</v>
      </c>
      <c r="K42" s="20">
        <f>+K39</f>
        <v>8402210</v>
      </c>
      <c r="L42" s="20">
        <f>+L40</f>
        <v>8402210</v>
      </c>
      <c r="M42" s="20">
        <f>+M39</f>
        <v>3922517.4766000002</v>
      </c>
      <c r="N42" s="20">
        <f>+N40</f>
        <v>3922517.4766000002</v>
      </c>
      <c r="O42" s="23"/>
      <c r="P42" s="23"/>
      <c r="Q42" s="42"/>
      <c r="R42" s="50"/>
      <c r="S42" s="49"/>
      <c r="T42" s="40"/>
    </row>
    <row r="43" spans="2:20" x14ac:dyDescent="0.25">
      <c r="B43" s="141"/>
      <c r="C43" s="142" t="s">
        <v>195</v>
      </c>
      <c r="D43" s="136"/>
      <c r="E43" s="136"/>
      <c r="F43" s="136"/>
      <c r="G43" s="74"/>
      <c r="H43" s="74"/>
      <c r="I43" s="74"/>
      <c r="J43" s="74"/>
      <c r="K43" s="74"/>
      <c r="L43" s="74"/>
      <c r="M43" s="49"/>
      <c r="N43" s="49"/>
      <c r="O43" s="23"/>
      <c r="P43" s="23"/>
      <c r="Q43" s="42"/>
      <c r="R43" s="50"/>
      <c r="S43" s="49"/>
      <c r="T43" s="40"/>
    </row>
    <row r="44" spans="2:20" x14ac:dyDescent="0.25">
      <c r="B44" s="43" t="s">
        <v>197</v>
      </c>
      <c r="C44" s="41"/>
      <c r="D44" s="41"/>
      <c r="E44" s="41"/>
      <c r="F44" s="41"/>
      <c r="G44" s="39">
        <v>11525237</v>
      </c>
      <c r="H44" s="39"/>
      <c r="I44" s="39">
        <f>+K44-1836936</f>
        <v>14471318.003400002</v>
      </c>
      <c r="J44" s="39"/>
      <c r="K44" s="39">
        <f>+L52-K47-K45</f>
        <v>16308254.003400002</v>
      </c>
      <c r="L44" s="39"/>
      <c r="M44" s="39">
        <f>+N52-M48</f>
        <v>7213414</v>
      </c>
      <c r="N44" s="39"/>
      <c r="O44" s="39">
        <f>+P50+P52+P49</f>
        <v>2004572</v>
      </c>
      <c r="P44" s="39"/>
      <c r="Q44" s="42"/>
      <c r="R44" s="51">
        <v>0</v>
      </c>
      <c r="S44" s="39"/>
      <c r="T44" s="42"/>
    </row>
    <row r="45" spans="2:20" x14ac:dyDescent="0.25">
      <c r="B45" s="26" t="s">
        <v>234</v>
      </c>
      <c r="C45" s="41"/>
      <c r="D45" s="41"/>
      <c r="E45" s="41"/>
      <c r="F45" s="41"/>
      <c r="G45" s="39">
        <f>+I45+I56+I61</f>
        <v>3479614.9108500006</v>
      </c>
      <c r="H45" s="75"/>
      <c r="I45" s="39">
        <f>+K45+K61</f>
        <v>4078003.9351480003</v>
      </c>
      <c r="J45" s="39"/>
      <c r="K45" s="39">
        <f>+M61</f>
        <v>3486156.52</v>
      </c>
      <c r="L45" s="39"/>
      <c r="M45" s="39"/>
      <c r="N45" s="39"/>
      <c r="O45" s="39"/>
      <c r="P45" s="39"/>
      <c r="Q45" s="42"/>
      <c r="R45" s="51"/>
      <c r="S45" s="39"/>
      <c r="T45" s="44"/>
    </row>
    <row r="46" spans="2:20" x14ac:dyDescent="0.25">
      <c r="B46" s="26" t="s">
        <v>338</v>
      </c>
      <c r="C46" s="41"/>
      <c r="D46" s="41"/>
      <c r="E46" s="41"/>
      <c r="F46" s="41"/>
      <c r="G46" s="39">
        <f>+I39</f>
        <v>9726442</v>
      </c>
      <c r="H46" s="75"/>
      <c r="I46" s="39"/>
      <c r="J46" s="39"/>
      <c r="K46" s="39"/>
      <c r="L46" s="39"/>
      <c r="M46" s="39"/>
      <c r="N46" s="39"/>
      <c r="O46" s="39"/>
      <c r="P46" s="39"/>
      <c r="Q46" s="42"/>
      <c r="R46" s="51"/>
      <c r="S46" s="39"/>
      <c r="T46" s="44"/>
    </row>
    <row r="47" spans="2:20" x14ac:dyDescent="0.25">
      <c r="B47" s="26" t="s">
        <v>353</v>
      </c>
      <c r="C47" s="41"/>
      <c r="D47" s="41"/>
      <c r="E47" s="41"/>
      <c r="F47" s="41"/>
      <c r="G47" s="39"/>
      <c r="H47" s="75">
        <f>+I16-J15+I34</f>
        <v>397693</v>
      </c>
      <c r="I47" s="39"/>
      <c r="J47" s="39"/>
      <c r="K47" s="39">
        <f>+M39</f>
        <v>3922517.4766000002</v>
      </c>
      <c r="L47" s="39"/>
      <c r="M47" s="39"/>
      <c r="N47" s="39"/>
      <c r="O47" s="39"/>
      <c r="P47" s="39"/>
      <c r="Q47" s="42"/>
      <c r="R47" s="51"/>
      <c r="S47" s="39"/>
      <c r="T47" s="44"/>
    </row>
    <row r="48" spans="2:20" hidden="1" outlineLevel="1" x14ac:dyDescent="0.25">
      <c r="B48" s="26" t="s">
        <v>189</v>
      </c>
      <c r="C48" s="41"/>
      <c r="D48" s="41"/>
      <c r="E48" s="41"/>
      <c r="F48" s="41"/>
      <c r="G48" s="39"/>
      <c r="H48" s="40"/>
      <c r="I48" s="39"/>
      <c r="J48" s="40"/>
      <c r="K48" s="19"/>
      <c r="M48" s="19"/>
      <c r="N48" s="15"/>
      <c r="O48" s="19"/>
      <c r="P48" s="19"/>
      <c r="Q48" s="42"/>
      <c r="R48" s="39"/>
      <c r="S48" s="39"/>
      <c r="T48" s="40"/>
    </row>
    <row r="49" spans="1:20" hidden="1" outlineLevel="1" x14ac:dyDescent="0.25">
      <c r="B49" s="43" t="s">
        <v>156</v>
      </c>
      <c r="C49" s="41"/>
      <c r="D49" s="41"/>
      <c r="E49" s="41"/>
      <c r="F49" s="41"/>
      <c r="G49" s="39"/>
      <c r="H49" s="39"/>
      <c r="I49" s="39"/>
      <c r="J49" s="39"/>
      <c r="K49" s="39"/>
      <c r="L49" s="39"/>
      <c r="M49" s="39"/>
      <c r="N49" s="39"/>
      <c r="O49" s="39"/>
      <c r="P49" s="39">
        <f>+R68+16101</f>
        <v>112314</v>
      </c>
      <c r="Q49" s="42"/>
      <c r="R49" s="51"/>
      <c r="S49" s="39">
        <v>0</v>
      </c>
      <c r="T49" s="40"/>
    </row>
    <row r="50" spans="1:20" hidden="1" outlineLevel="1" x14ac:dyDescent="0.25">
      <c r="A50" s="40"/>
      <c r="B50" s="26" t="s">
        <v>275</v>
      </c>
      <c r="C50" s="41"/>
      <c r="D50" s="41"/>
      <c r="E50" s="41"/>
      <c r="F50" s="41"/>
      <c r="G50" s="39"/>
      <c r="H50" s="39"/>
      <c r="I50" s="39"/>
      <c r="J50" s="39">
        <v>0</v>
      </c>
      <c r="K50" s="64"/>
      <c r="L50" s="64">
        <v>0</v>
      </c>
      <c r="M50" s="39"/>
      <c r="N50" s="15"/>
      <c r="O50" s="39"/>
      <c r="P50" s="39">
        <f>+S24</f>
        <v>416926</v>
      </c>
      <c r="Q50" s="42"/>
      <c r="R50" s="51"/>
      <c r="S50" s="39">
        <v>0</v>
      </c>
      <c r="T50" s="40"/>
    </row>
    <row r="51" spans="1:20" s="40" customFormat="1" hidden="1" outlineLevel="1" x14ac:dyDescent="0.25">
      <c r="B51" s="26" t="s">
        <v>276</v>
      </c>
      <c r="C51" s="41"/>
      <c r="D51" s="41"/>
      <c r="E51" s="41"/>
      <c r="F51" s="41"/>
      <c r="G51" s="39"/>
      <c r="H51" s="39"/>
      <c r="I51" s="39"/>
      <c r="J51" s="39"/>
      <c r="K51" s="39"/>
      <c r="L51" s="39"/>
      <c r="M51" s="39"/>
      <c r="N51" s="39">
        <v>0</v>
      </c>
      <c r="O51" s="39"/>
      <c r="P51" s="39"/>
      <c r="Q51" s="42"/>
      <c r="R51" s="51"/>
      <c r="S51" s="39"/>
    </row>
    <row r="52" spans="1:20" collapsed="1" x14ac:dyDescent="0.25">
      <c r="B52" s="26" t="s">
        <v>206</v>
      </c>
      <c r="C52" s="41"/>
      <c r="D52" s="41"/>
      <c r="E52" s="41"/>
      <c r="F52" s="41"/>
      <c r="G52" s="39"/>
      <c r="H52" s="39">
        <f>+J52+J22</f>
        <v>24376593.938548002</v>
      </c>
      <c r="I52" s="39"/>
      <c r="J52" s="39">
        <f>+I44+I45</f>
        <v>18549321.938548002</v>
      </c>
      <c r="K52" s="39"/>
      <c r="L52" s="39">
        <f>+N52+N22+795508-138160</f>
        <v>23716928</v>
      </c>
      <c r="M52" s="19"/>
      <c r="N52" s="19">
        <f>+P52+P22</f>
        <v>7213414</v>
      </c>
      <c r="O52" s="19"/>
      <c r="P52" s="19">
        <f>+S22</f>
        <v>1475332</v>
      </c>
      <c r="Q52" s="42"/>
      <c r="R52" s="51"/>
      <c r="S52" s="39">
        <v>0</v>
      </c>
      <c r="T52" s="40"/>
    </row>
    <row r="53" spans="1:20" x14ac:dyDescent="0.25">
      <c r="B53" s="26" t="s">
        <v>155</v>
      </c>
      <c r="C53" s="41"/>
      <c r="D53" s="41"/>
      <c r="E53" s="41"/>
      <c r="F53" s="41"/>
      <c r="G53" s="47"/>
      <c r="H53" s="47"/>
      <c r="I53" s="47"/>
      <c r="J53" s="47"/>
      <c r="K53" s="47"/>
      <c r="L53" s="47"/>
      <c r="M53" s="39"/>
      <c r="N53" s="53"/>
      <c r="O53" s="19"/>
      <c r="P53" s="19"/>
      <c r="Q53" s="40"/>
      <c r="R53" s="26"/>
      <c r="S53" s="47"/>
      <c r="T53" s="40"/>
    </row>
    <row r="54" spans="1:20" x14ac:dyDescent="0.25">
      <c r="B54" s="139"/>
      <c r="C54" s="140"/>
      <c r="D54" s="140"/>
      <c r="E54" s="140"/>
      <c r="F54" s="140" t="s">
        <v>153</v>
      </c>
      <c r="G54" s="48">
        <f>SUM(G44:G53)</f>
        <v>24731293.91085</v>
      </c>
      <c r="H54" s="48">
        <f>SUM(H45:H53)</f>
        <v>24774286.938548002</v>
      </c>
      <c r="I54" s="48">
        <f>SUM(I43:I52)</f>
        <v>18549321.938548002</v>
      </c>
      <c r="J54" s="48">
        <f>SUM(J43:J52)</f>
        <v>18549321.938548002</v>
      </c>
      <c r="K54" s="48">
        <f t="shared" ref="K54:P54" si="8">SUM(K43:K52)</f>
        <v>23716928</v>
      </c>
      <c r="L54" s="48">
        <f t="shared" si="8"/>
        <v>23716928</v>
      </c>
      <c r="M54" s="48">
        <f t="shared" si="8"/>
        <v>7213414</v>
      </c>
      <c r="N54" s="48">
        <f t="shared" si="8"/>
        <v>7213414</v>
      </c>
      <c r="O54" s="20">
        <f t="shared" si="8"/>
        <v>2004572</v>
      </c>
      <c r="P54" s="20">
        <f t="shared" si="8"/>
        <v>2004572</v>
      </c>
      <c r="Q54" s="40"/>
      <c r="R54" s="48">
        <f>SUM(R43:R52)</f>
        <v>0</v>
      </c>
      <c r="S54" s="48">
        <f>SUM(S43:S52)</f>
        <v>0</v>
      </c>
      <c r="T54" s="40"/>
    </row>
    <row r="55" spans="1:20" x14ac:dyDescent="0.25">
      <c r="B55" s="26"/>
      <c r="C55" s="152" t="s">
        <v>329</v>
      </c>
      <c r="D55" s="41"/>
      <c r="E55" s="41"/>
      <c r="F55" s="41"/>
      <c r="G55" s="47"/>
      <c r="H55" s="47"/>
      <c r="I55" s="47"/>
      <c r="J55" s="47"/>
      <c r="K55" s="47"/>
      <c r="L55" s="47"/>
      <c r="M55" s="49"/>
      <c r="N55" s="49"/>
      <c r="O55" s="23"/>
      <c r="P55" s="23"/>
      <c r="Q55" s="41"/>
      <c r="R55" s="50"/>
      <c r="S55" s="39"/>
      <c r="T55" s="40"/>
    </row>
    <row r="56" spans="1:20" x14ac:dyDescent="0.25">
      <c r="B56" s="26" t="s">
        <v>234</v>
      </c>
      <c r="C56" s="41"/>
      <c r="D56" s="41"/>
      <c r="E56" s="41"/>
      <c r="F56" s="41"/>
      <c r="G56" s="92">
        <v>0</v>
      </c>
      <c r="H56" s="47"/>
      <c r="I56" s="92">
        <f>-'Impuesto diferido'!G24*0.03</f>
        <v>376403.47570200003</v>
      </c>
      <c r="J56" s="47"/>
      <c r="K56" s="29"/>
      <c r="L56" s="15"/>
      <c r="M56" s="19">
        <f>N17*0.22</f>
        <v>1847711.58</v>
      </c>
      <c r="N56" s="19"/>
      <c r="O56" s="19"/>
      <c r="P56" s="19"/>
      <c r="Q56" s="41"/>
      <c r="R56" s="51"/>
      <c r="S56" s="39"/>
      <c r="T56" s="40"/>
    </row>
    <row r="57" spans="1:20" x14ac:dyDescent="0.25">
      <c r="B57" s="26" t="s">
        <v>235</v>
      </c>
      <c r="C57" s="41"/>
      <c r="D57" s="41"/>
      <c r="E57" s="41"/>
      <c r="F57" s="41"/>
      <c r="G57" s="47"/>
      <c r="H57" s="92">
        <v>0</v>
      </c>
      <c r="I57" s="47"/>
      <c r="J57" s="92">
        <f>+I56</f>
        <v>376403.47570200003</v>
      </c>
      <c r="K57" s="15"/>
      <c r="L57" s="29"/>
      <c r="M57" s="19"/>
      <c r="N57" s="19">
        <f>+M56</f>
        <v>1847711.58</v>
      </c>
      <c r="O57" s="19"/>
      <c r="P57" s="19"/>
      <c r="Q57" s="41"/>
      <c r="R57" s="51"/>
      <c r="S57" s="39"/>
      <c r="T57" s="40"/>
    </row>
    <row r="58" spans="1:20" x14ac:dyDescent="0.25">
      <c r="B58" s="26" t="s">
        <v>331</v>
      </c>
      <c r="C58" s="41"/>
      <c r="D58" s="41"/>
      <c r="E58" s="41"/>
      <c r="F58" s="41"/>
      <c r="G58" s="47"/>
      <c r="H58" s="47"/>
      <c r="I58" s="47"/>
      <c r="J58" s="47"/>
      <c r="K58" s="47"/>
      <c r="L58" s="47"/>
      <c r="M58" s="39"/>
      <c r="N58" s="39"/>
      <c r="O58" s="19"/>
      <c r="P58" s="19"/>
      <c r="Q58" s="41"/>
      <c r="R58" s="51"/>
      <c r="S58" s="39"/>
      <c r="T58" s="40"/>
    </row>
    <row r="59" spans="1:20" x14ac:dyDescent="0.25">
      <c r="B59" s="164" t="s">
        <v>332</v>
      </c>
      <c r="C59" s="140"/>
      <c r="D59" s="140"/>
      <c r="E59" s="140"/>
      <c r="F59" s="140"/>
      <c r="G59" s="72"/>
      <c r="H59" s="72"/>
      <c r="I59" s="72"/>
      <c r="J59" s="72"/>
      <c r="K59" s="72"/>
      <c r="L59" s="72"/>
      <c r="M59" s="53"/>
      <c r="N59" s="53"/>
      <c r="O59" s="27"/>
      <c r="P59" s="27"/>
      <c r="Q59" s="41"/>
      <c r="R59" s="88"/>
      <c r="S59" s="53"/>
      <c r="T59" s="40"/>
    </row>
    <row r="60" spans="1:20" x14ac:dyDescent="0.25">
      <c r="B60" s="26"/>
      <c r="C60" s="152" t="s">
        <v>354</v>
      </c>
      <c r="D60" s="41"/>
      <c r="E60" s="41"/>
      <c r="F60" s="41"/>
      <c r="G60" s="47"/>
      <c r="H60" s="47"/>
      <c r="I60" s="47"/>
      <c r="J60" s="47"/>
      <c r="K60" s="47"/>
      <c r="L60" s="47"/>
      <c r="M60" s="49"/>
      <c r="N60" s="49"/>
      <c r="O60" s="23"/>
      <c r="P60" s="23"/>
      <c r="Q60" s="41"/>
      <c r="R60" s="50"/>
      <c r="S60" s="39"/>
      <c r="T60" s="40"/>
    </row>
    <row r="61" spans="1:20" x14ac:dyDescent="0.25">
      <c r="B61" s="26" t="s">
        <v>234</v>
      </c>
      <c r="C61" s="41"/>
      <c r="D61" s="41"/>
      <c r="E61" s="41"/>
      <c r="F61" s="41"/>
      <c r="G61" s="92">
        <f>(+H22-H40)*0.25</f>
        <v>-358270.25</v>
      </c>
      <c r="H61" s="47"/>
      <c r="I61" s="92">
        <f>(+J22-J40)*0.25</f>
        <v>-974792.5</v>
      </c>
      <c r="J61" s="47"/>
      <c r="K61" s="29">
        <f>(-'BG '!S25-N22)*0.22</f>
        <v>591847.41514800023</v>
      </c>
      <c r="L61" s="15"/>
      <c r="M61" s="19">
        <f>N22*0.22</f>
        <v>3486156.52</v>
      </c>
      <c r="N61" s="19"/>
      <c r="O61" s="19"/>
      <c r="P61" s="19"/>
      <c r="Q61" s="41"/>
      <c r="R61" s="51"/>
      <c r="S61" s="39"/>
      <c r="T61" s="40">
        <v>358270</v>
      </c>
    </row>
    <row r="62" spans="1:20" x14ac:dyDescent="0.25">
      <c r="B62" s="26" t="s">
        <v>235</v>
      </c>
      <c r="C62" s="41"/>
      <c r="D62" s="41"/>
      <c r="E62" s="41"/>
      <c r="F62" s="41"/>
      <c r="G62" s="47"/>
      <c r="H62" s="92">
        <f>+G61</f>
        <v>-358270.25</v>
      </c>
      <c r="I62" s="47"/>
      <c r="J62" s="92">
        <f>+I61</f>
        <v>-974792.5</v>
      </c>
      <c r="K62" s="15"/>
      <c r="L62" s="29">
        <f>+K61</f>
        <v>591847.41514800023</v>
      </c>
      <c r="M62" s="19"/>
      <c r="N62" s="19">
        <f>+M61</f>
        <v>3486156.52</v>
      </c>
      <c r="O62" s="19"/>
      <c r="P62" s="19"/>
      <c r="Q62" s="41"/>
      <c r="R62" s="51"/>
      <c r="S62" s="39"/>
      <c r="T62" s="40"/>
    </row>
    <row r="63" spans="1:20" x14ac:dyDescent="0.25">
      <c r="B63" s="26" t="s">
        <v>273</v>
      </c>
      <c r="C63" s="41"/>
      <c r="D63" s="41"/>
      <c r="E63" s="41"/>
      <c r="F63" s="41"/>
      <c r="G63" s="47"/>
      <c r="H63" s="47"/>
      <c r="I63" s="47"/>
      <c r="J63" s="47"/>
      <c r="K63" s="47"/>
      <c r="L63" s="47"/>
      <c r="M63" s="39"/>
      <c r="N63" s="39"/>
      <c r="O63" s="19"/>
      <c r="P63" s="19"/>
      <c r="Q63" s="41"/>
      <c r="R63" s="51"/>
      <c r="S63" s="39"/>
      <c r="T63" s="40"/>
    </row>
    <row r="64" spans="1:20" x14ac:dyDescent="0.25">
      <c r="B64" s="26" t="s">
        <v>309</v>
      </c>
      <c r="C64" s="41"/>
      <c r="D64" s="41"/>
      <c r="E64" s="41"/>
      <c r="F64" s="41"/>
      <c r="G64" s="47"/>
      <c r="H64" s="72"/>
      <c r="I64" s="72"/>
      <c r="J64" s="72"/>
      <c r="K64" s="72"/>
      <c r="L64" s="72"/>
      <c r="M64" s="53"/>
      <c r="N64" s="53"/>
      <c r="O64" s="27"/>
      <c r="P64" s="27"/>
      <c r="Q64" s="41"/>
      <c r="R64" s="88"/>
      <c r="S64" s="53"/>
      <c r="T64" s="40"/>
    </row>
    <row r="65" spans="2:20" x14ac:dyDescent="0.25">
      <c r="B65" s="139"/>
      <c r="C65" s="140"/>
      <c r="D65" s="140"/>
      <c r="E65" s="140"/>
      <c r="F65" s="140" t="s">
        <v>153</v>
      </c>
      <c r="G65" s="73"/>
      <c r="H65" s="72"/>
      <c r="I65" s="178">
        <f>SUM(I61:I64)</f>
        <v>-974792.5</v>
      </c>
      <c r="J65" s="178">
        <f>SUM(J61:J64)</f>
        <v>-974792.5</v>
      </c>
      <c r="K65" s="72"/>
      <c r="L65" s="72"/>
      <c r="M65" s="53"/>
      <c r="N65" s="53"/>
      <c r="O65" s="27"/>
      <c r="P65" s="27"/>
      <c r="Q65" s="41"/>
      <c r="R65" s="88"/>
      <c r="S65" s="53"/>
      <c r="T65" s="40"/>
    </row>
    <row r="66" spans="2:20" ht="15.75" thickBot="1" x14ac:dyDescent="0.3">
      <c r="B66" s="136"/>
      <c r="C66" s="136"/>
      <c r="D66" s="136"/>
      <c r="E66" s="136"/>
      <c r="F66" s="86" t="s">
        <v>154</v>
      </c>
      <c r="G66" s="106">
        <f>+G11+G19+G26+G37+G54+G42+G61</f>
        <v>161551227.66084999</v>
      </c>
      <c r="H66" s="106">
        <f>+H11+H19+H26+H37+H54+H42+H61</f>
        <v>161952490.938548</v>
      </c>
      <c r="I66" s="106">
        <f>+I11+I19+I26+I37+I54+I42+I61</f>
        <v>124036288.438548</v>
      </c>
      <c r="J66" s="106">
        <f>+J11+J19+J26+J37+J54+J42+J62</f>
        <v>124036288.438548</v>
      </c>
      <c r="K66" s="48">
        <f>+K11+K19+K26+K37+K54+K42+K61</f>
        <v>95126716.415148005</v>
      </c>
      <c r="L66" s="48">
        <f>+L11+L19+L26+L37+L54+L42+L62</f>
        <v>95126716.415148005</v>
      </c>
      <c r="M66" s="48">
        <f>+M11+M19+M26+M37+M54+M42+M61</f>
        <v>73263238.996600002</v>
      </c>
      <c r="N66" s="48">
        <f>+N11+N19+N26+N37+N54+N42+N62</f>
        <v>73263238.996600002</v>
      </c>
      <c r="O66" s="20">
        <f>+O11+O19+O26+O37+O54+O42</f>
        <v>33237687</v>
      </c>
      <c r="P66" s="20">
        <f>+P11+P19+P26+P37+P54+P42</f>
        <v>33237687</v>
      </c>
      <c r="Q66" s="42"/>
      <c r="R66" s="52">
        <f>+R11+R19+R26+R37</f>
        <v>18582456</v>
      </c>
      <c r="S66" s="53">
        <f>+S11+S19+S26+S37</f>
        <v>18582456</v>
      </c>
      <c r="T66" s="40"/>
    </row>
    <row r="67" spans="2:20" ht="15.75" thickTop="1" x14ac:dyDescent="0.25">
      <c r="M67" s="38"/>
      <c r="Q67" s="40"/>
      <c r="R67" s="40"/>
      <c r="S67" s="40"/>
      <c r="T67" s="40"/>
    </row>
    <row r="68" spans="2:20" hidden="1" x14ac:dyDescent="0.25">
      <c r="B68" s="6" t="s">
        <v>208</v>
      </c>
      <c r="C68" s="7"/>
      <c r="D68" s="7"/>
      <c r="E68" s="7"/>
      <c r="F68" s="7"/>
      <c r="G68" s="7"/>
      <c r="H68" s="7"/>
      <c r="I68" s="7"/>
      <c r="J68" s="7"/>
      <c r="K68" s="7"/>
      <c r="L68" s="7"/>
      <c r="M68" s="79">
        <f>+M16+M32+M44</f>
        <v>7519103</v>
      </c>
      <c r="N68" s="7"/>
      <c r="O68" s="79">
        <f>+PAT!I101+O44</f>
        <v>2004572</v>
      </c>
      <c r="P68" s="8"/>
      <c r="Q68" s="40"/>
      <c r="R68" s="85">
        <f>+R14-S8-S33</f>
        <v>96213</v>
      </c>
      <c r="S68" s="86"/>
      <c r="T68" s="40"/>
    </row>
    <row r="69" spans="2:20" hidden="1" x14ac:dyDescent="0.25">
      <c r="B69" s="9" t="s">
        <v>228</v>
      </c>
      <c r="C69" s="10"/>
      <c r="D69" s="10"/>
      <c r="E69" s="10"/>
      <c r="F69" s="10"/>
      <c r="G69" s="10"/>
      <c r="H69" s="10"/>
      <c r="I69" s="10"/>
      <c r="J69" s="10"/>
      <c r="K69" s="10"/>
      <c r="L69" s="10"/>
      <c r="M69" s="80">
        <f>+M14-N33</f>
        <v>470203</v>
      </c>
      <c r="N69" s="10"/>
      <c r="O69" s="80">
        <f>+O8+O14+O33</f>
        <v>418694</v>
      </c>
      <c r="P69" s="11"/>
      <c r="R69" s="9"/>
      <c r="S69" s="11"/>
    </row>
    <row r="70" spans="2:20" hidden="1" x14ac:dyDescent="0.25">
      <c r="B70" s="81" t="s">
        <v>229</v>
      </c>
      <c r="C70" s="82"/>
      <c r="D70" s="82"/>
      <c r="E70" s="82"/>
      <c r="F70" s="82"/>
      <c r="G70" s="82"/>
      <c r="H70" s="82"/>
      <c r="I70" s="82"/>
      <c r="J70" s="82"/>
      <c r="K70" s="82"/>
      <c r="L70" s="82"/>
      <c r="M70" s="84">
        <f>+M68+M69</f>
        <v>7989306</v>
      </c>
      <c r="N70" s="82"/>
      <c r="O70" s="84">
        <f>+O68+O69</f>
        <v>2423266</v>
      </c>
      <c r="P70" s="83"/>
      <c r="R70" s="87">
        <f>+R68+R69</f>
        <v>96213</v>
      </c>
      <c r="S70" s="83"/>
    </row>
    <row r="71" spans="2:20" x14ac:dyDescent="0.25">
      <c r="B71" s="10"/>
      <c r="C71" s="10"/>
      <c r="D71" s="10"/>
      <c r="E71" s="10"/>
      <c r="F71" s="10"/>
      <c r="G71" s="10"/>
      <c r="H71" s="10"/>
      <c r="I71" s="10"/>
      <c r="J71" s="10"/>
      <c r="K71" s="10"/>
      <c r="L71" s="10"/>
      <c r="M71" s="80"/>
      <c r="N71" s="10"/>
      <c r="O71" s="80"/>
      <c r="P71" s="10"/>
      <c r="R71" s="80"/>
      <c r="S71" s="10"/>
    </row>
    <row r="72" spans="2:20" x14ac:dyDescent="0.25">
      <c r="I72" s="38"/>
    </row>
    <row r="73" spans="2:20" x14ac:dyDescent="0.25">
      <c r="M73" s="10"/>
      <c r="N73" s="10"/>
    </row>
    <row r="74" spans="2:20" x14ac:dyDescent="0.25">
      <c r="F74" s="200" t="s">
        <v>254</v>
      </c>
      <c r="G74" s="200"/>
      <c r="H74" s="200"/>
      <c r="I74" s="200"/>
      <c r="J74" s="200"/>
      <c r="K74" s="200"/>
      <c r="L74" s="200"/>
      <c r="M74" s="10"/>
      <c r="N74" s="10"/>
    </row>
    <row r="75" spans="2:20" x14ac:dyDescent="0.25">
      <c r="F75" s="201" t="s">
        <v>255</v>
      </c>
      <c r="G75" s="201"/>
      <c r="H75" s="201"/>
      <c r="I75" s="201"/>
      <c r="J75" s="201"/>
      <c r="K75" s="201"/>
      <c r="L75" s="201"/>
    </row>
  </sheetData>
  <mergeCells count="9">
    <mergeCell ref="F74:L74"/>
    <mergeCell ref="F75:L75"/>
    <mergeCell ref="O4:P4"/>
    <mergeCell ref="R4:S4"/>
    <mergeCell ref="M4:N4"/>
    <mergeCell ref="B41:F41"/>
    <mergeCell ref="K4:L4"/>
    <mergeCell ref="I4:J4"/>
    <mergeCell ref="G4:H4"/>
  </mergeCells>
  <pageMargins left="0.7" right="0.7" top="0.75" bottom="0.75" header="0.3" footer="0.3"/>
  <pageSetup scale="7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B1:M28"/>
  <sheetViews>
    <sheetView topLeftCell="A7" workbookViewId="0">
      <selection activeCell="A27" sqref="A27"/>
    </sheetView>
  </sheetViews>
  <sheetFormatPr defaultColWidth="9.140625" defaultRowHeight="15" x14ac:dyDescent="0.25"/>
  <cols>
    <col min="5" max="5" width="12.28515625" bestFit="1" customWidth="1"/>
    <col min="6" max="6" width="12.7109375" customWidth="1"/>
    <col min="7" max="9" width="12.28515625" bestFit="1" customWidth="1"/>
    <col min="10" max="10" width="13.28515625" bestFit="1" customWidth="1"/>
    <col min="11" max="11" width="14.28515625" bestFit="1" customWidth="1"/>
    <col min="12" max="12" width="3.28515625" customWidth="1"/>
    <col min="13" max="13" width="78.7109375" bestFit="1" customWidth="1"/>
  </cols>
  <sheetData>
    <row r="1" spans="2:13" x14ac:dyDescent="0.25">
      <c r="B1" s="6"/>
      <c r="C1" s="7"/>
      <c r="D1" s="7"/>
      <c r="E1" s="7"/>
      <c r="F1" s="7"/>
      <c r="G1" s="7"/>
      <c r="H1" s="115">
        <v>2019</v>
      </c>
      <c r="I1" s="115">
        <v>2018</v>
      </c>
      <c r="J1" s="115">
        <v>2017</v>
      </c>
      <c r="K1" s="115">
        <v>2016</v>
      </c>
      <c r="M1" s="114" t="s">
        <v>282</v>
      </c>
    </row>
    <row r="2" spans="2:13" x14ac:dyDescent="0.25">
      <c r="B2" s="9" t="s">
        <v>277</v>
      </c>
      <c r="C2" s="10"/>
      <c r="D2" s="10"/>
      <c r="E2" s="10"/>
      <c r="F2" s="10"/>
      <c r="G2" s="10"/>
      <c r="H2" s="15"/>
      <c r="I2" s="15"/>
      <c r="J2" s="15"/>
      <c r="K2" s="15"/>
      <c r="M2" s="14"/>
    </row>
    <row r="3" spans="2:13" x14ac:dyDescent="0.25">
      <c r="B3" s="9" t="s">
        <v>278</v>
      </c>
      <c r="C3" s="10"/>
      <c r="D3" s="10"/>
      <c r="E3" s="10"/>
      <c r="F3" s="10"/>
      <c r="G3" s="10"/>
      <c r="H3" s="19">
        <f>-AD!H22</f>
        <v>-8203260</v>
      </c>
      <c r="I3" s="19">
        <f>-AD!J22</f>
        <v>-5827272</v>
      </c>
      <c r="J3" s="19">
        <f>-AD!L22</f>
        <v>-7144181</v>
      </c>
      <c r="K3" s="19">
        <f>-AD!N22</f>
        <v>-15846166</v>
      </c>
      <c r="M3" s="15" t="s">
        <v>283</v>
      </c>
    </row>
    <row r="4" spans="2:13" x14ac:dyDescent="0.25">
      <c r="B4" s="9" t="s">
        <v>279</v>
      </c>
      <c r="C4" s="10"/>
      <c r="D4" s="10"/>
      <c r="E4" s="10"/>
      <c r="F4" s="10"/>
      <c r="G4" s="10"/>
      <c r="H4" s="19">
        <f>+AD!H40</f>
        <v>9636341</v>
      </c>
      <c r="I4" s="19">
        <f>+AD!J40</f>
        <v>9726442</v>
      </c>
      <c r="J4" s="19">
        <f>+AD!L40</f>
        <v>8402210</v>
      </c>
      <c r="K4" s="19">
        <f>+AD!N40</f>
        <v>3922517.4766000002</v>
      </c>
      <c r="M4" s="15" t="s">
        <v>284</v>
      </c>
    </row>
    <row r="5" spans="2:13" x14ac:dyDescent="0.25">
      <c r="B5" s="9" t="s">
        <v>280</v>
      </c>
      <c r="C5" s="10"/>
      <c r="D5" s="10"/>
      <c r="E5" s="10"/>
      <c r="F5" s="10"/>
      <c r="G5" s="10"/>
      <c r="H5" s="19">
        <f>+AD!H62</f>
        <v>-358270.25</v>
      </c>
      <c r="I5" s="19">
        <f>+ER!M34</f>
        <v>-598389.02429799992</v>
      </c>
      <c r="J5" s="19">
        <f>+AD!L62</f>
        <v>591847.41514800023</v>
      </c>
      <c r="K5" s="19">
        <f>+AD!N62</f>
        <v>3486156.52</v>
      </c>
      <c r="M5" s="15" t="s">
        <v>334</v>
      </c>
    </row>
    <row r="6" spans="2:13" x14ac:dyDescent="0.25">
      <c r="B6" s="9" t="s">
        <v>281</v>
      </c>
      <c r="C6" s="10"/>
      <c r="D6" s="10"/>
      <c r="E6" s="10"/>
      <c r="F6" s="10"/>
      <c r="G6" s="10"/>
      <c r="H6" s="19">
        <f>+ER!G28</f>
        <v>397693</v>
      </c>
      <c r="I6" s="19"/>
      <c r="J6" s="19"/>
      <c r="K6" s="19"/>
      <c r="M6" s="15" t="s">
        <v>335</v>
      </c>
    </row>
    <row r="7" spans="2:13" x14ac:dyDescent="0.25">
      <c r="B7" s="116" t="s">
        <v>153</v>
      </c>
      <c r="C7" s="117"/>
      <c r="D7" s="117"/>
      <c r="E7" s="117"/>
      <c r="F7" s="117"/>
      <c r="G7" s="117"/>
      <c r="H7" s="33">
        <f>SUM(H3:H6)</f>
        <v>1472503.75</v>
      </c>
      <c r="I7" s="33">
        <f>SUM(I3:I6)</f>
        <v>3300780.9757019999</v>
      </c>
      <c r="J7" s="33">
        <f>SUM(J3:J6)</f>
        <v>1849876.4151480002</v>
      </c>
      <c r="K7" s="33">
        <f>SUM(K3:K6)</f>
        <v>-8437492.0033999998</v>
      </c>
      <c r="M7" s="28"/>
    </row>
    <row r="8" spans="2:13" x14ac:dyDescent="0.25">
      <c r="I8" s="4"/>
      <c r="J8" s="4"/>
      <c r="K8" s="4"/>
    </row>
    <row r="9" spans="2:13" hidden="1" x14ac:dyDescent="0.25">
      <c r="B9" s="6" t="s">
        <v>285</v>
      </c>
      <c r="C9" s="7"/>
      <c r="D9" s="7"/>
      <c r="E9" s="7"/>
      <c r="F9" s="7"/>
      <c r="G9" s="7"/>
      <c r="H9" s="7"/>
      <c r="I9" s="23"/>
      <c r="J9" s="23"/>
      <c r="K9" s="23"/>
      <c r="M9" s="118"/>
    </row>
    <row r="10" spans="2:13" hidden="1" x14ac:dyDescent="0.25">
      <c r="B10" s="9" t="s">
        <v>289</v>
      </c>
      <c r="C10" s="10"/>
      <c r="D10" s="10"/>
      <c r="E10" s="10"/>
      <c r="F10" s="10"/>
      <c r="G10" s="10"/>
      <c r="H10" s="10"/>
      <c r="I10" s="19"/>
      <c r="J10" s="19"/>
      <c r="K10" s="19"/>
      <c r="M10" s="118"/>
    </row>
    <row r="11" spans="2:13" s="120" customFormat="1" hidden="1" x14ac:dyDescent="0.25">
      <c r="B11" s="104"/>
      <c r="C11" s="105" t="s">
        <v>286</v>
      </c>
      <c r="D11" s="105"/>
      <c r="E11" s="105"/>
      <c r="F11" s="105"/>
      <c r="G11" s="105"/>
      <c r="H11" s="105"/>
      <c r="I11" s="64"/>
      <c r="J11" s="64">
        <f>+AD!K21</f>
        <v>51723340</v>
      </c>
      <c r="K11" s="64">
        <v>48803746</v>
      </c>
      <c r="M11" s="121" t="s">
        <v>288</v>
      </c>
    </row>
    <row r="12" spans="2:13" hidden="1" x14ac:dyDescent="0.25">
      <c r="B12" s="9" t="s">
        <v>290</v>
      </c>
      <c r="C12" s="10"/>
      <c r="D12" s="10"/>
      <c r="E12" s="10"/>
      <c r="F12" s="10"/>
      <c r="G12" s="10"/>
      <c r="H12" s="10"/>
      <c r="I12" s="19"/>
      <c r="J12" s="19"/>
      <c r="K12" s="19"/>
      <c r="M12" s="118"/>
    </row>
    <row r="13" spans="2:13" hidden="1" x14ac:dyDescent="0.25">
      <c r="B13" s="9"/>
      <c r="C13" s="10" t="s">
        <v>292</v>
      </c>
      <c r="D13" s="10"/>
      <c r="E13" s="10"/>
      <c r="F13" s="10"/>
      <c r="G13" s="10"/>
      <c r="H13" s="10"/>
      <c r="I13" s="19"/>
      <c r="J13" s="19">
        <f>+AD!L22</f>
        <v>7144181</v>
      </c>
      <c r="K13" s="19">
        <f>+AD!N22</f>
        <v>15846166</v>
      </c>
      <c r="M13" s="118" t="s">
        <v>287</v>
      </c>
    </row>
    <row r="14" spans="2:13" hidden="1" x14ac:dyDescent="0.25">
      <c r="B14" s="9"/>
      <c r="C14" s="10" t="s">
        <v>293</v>
      </c>
      <c r="D14" s="10"/>
      <c r="E14" s="10"/>
      <c r="F14" s="10"/>
      <c r="G14" s="10"/>
      <c r="H14" s="10"/>
      <c r="I14" s="19"/>
      <c r="J14" s="19">
        <f>+AD!L23</f>
        <v>44579159</v>
      </c>
      <c r="K14" s="19">
        <f>+AD!N23</f>
        <v>26625458</v>
      </c>
      <c r="M14" s="118"/>
    </row>
    <row r="15" spans="2:13" s="120" customFormat="1" ht="75" hidden="1" x14ac:dyDescent="0.25">
      <c r="B15" s="122"/>
      <c r="C15" s="207" t="s">
        <v>294</v>
      </c>
      <c r="D15" s="207"/>
      <c r="E15" s="207"/>
      <c r="F15" s="207"/>
      <c r="G15" s="207"/>
      <c r="H15" s="208"/>
      <c r="I15" s="123"/>
      <c r="J15" s="123">
        <v>0</v>
      </c>
      <c r="K15" s="123">
        <f>+K11-K13-K14</f>
        <v>6332122</v>
      </c>
      <c r="M15" s="124" t="s">
        <v>291</v>
      </c>
    </row>
    <row r="16" spans="2:13" x14ac:dyDescent="0.25">
      <c r="J16" s="4"/>
      <c r="K16" s="4"/>
    </row>
    <row r="17" spans="2:13" x14ac:dyDescent="0.25">
      <c r="B17" s="1" t="s">
        <v>295</v>
      </c>
      <c r="J17" s="4"/>
      <c r="K17" s="4"/>
    </row>
    <row r="18" spans="2:13" ht="45" x14ac:dyDescent="0.25">
      <c r="B18" s="209" t="s">
        <v>299</v>
      </c>
      <c r="C18" s="210"/>
      <c r="D18" s="211"/>
      <c r="E18" s="125" t="s">
        <v>296</v>
      </c>
      <c r="F18" s="119" t="s">
        <v>297</v>
      </c>
      <c r="G18" s="125" t="s">
        <v>308</v>
      </c>
      <c r="H18" s="125" t="s">
        <v>359</v>
      </c>
      <c r="I18" s="126" t="s">
        <v>358</v>
      </c>
      <c r="K18" s="4"/>
      <c r="M18" s="14"/>
    </row>
    <row r="19" spans="2:13" x14ac:dyDescent="0.25">
      <c r="B19" s="132">
        <v>2015</v>
      </c>
      <c r="C19" s="127"/>
      <c r="D19" s="128"/>
      <c r="E19" s="131">
        <f>-AD!N52</f>
        <v>-7213414</v>
      </c>
      <c r="F19" s="130"/>
      <c r="G19" s="133">
        <f>+E19+F19</f>
        <v>-7213414</v>
      </c>
      <c r="H19" s="129">
        <v>0</v>
      </c>
      <c r="I19" s="131">
        <f>+G19+H19</f>
        <v>-7213414</v>
      </c>
      <c r="K19" s="4"/>
      <c r="M19" s="15"/>
    </row>
    <row r="20" spans="2:13" x14ac:dyDescent="0.25">
      <c r="B20" s="9">
        <v>2016</v>
      </c>
      <c r="C20" s="10"/>
      <c r="D20" s="11"/>
      <c r="E20" s="29">
        <f>+K3</f>
        <v>-15846166</v>
      </c>
      <c r="F20" s="29">
        <f>+K4</f>
        <v>3922517.4766000002</v>
      </c>
      <c r="G20" s="29">
        <f>+E20+F20</f>
        <v>-11923648.523399999</v>
      </c>
      <c r="H20" s="29">
        <f>+K5</f>
        <v>3486156.52</v>
      </c>
      <c r="I20" s="19">
        <f>+G20+H20</f>
        <v>-8437492.0033999998</v>
      </c>
      <c r="J20" s="145"/>
      <c r="K20" s="4"/>
      <c r="M20" s="15" t="s">
        <v>300</v>
      </c>
    </row>
    <row r="21" spans="2:13" x14ac:dyDescent="0.25">
      <c r="B21" s="9">
        <v>2017</v>
      </c>
      <c r="C21" s="10"/>
      <c r="D21" s="11"/>
      <c r="E21" s="29">
        <f>+J3</f>
        <v>-7144181</v>
      </c>
      <c r="F21" s="29">
        <f>+J4</f>
        <v>8402210</v>
      </c>
      <c r="G21" s="29">
        <f t="shared" ref="G21:G23" si="0">+E21+F21</f>
        <v>1258029</v>
      </c>
      <c r="H21" s="29">
        <f>+J5</f>
        <v>591847.41514800023</v>
      </c>
      <c r="I21" s="19">
        <f>+G21+H21</f>
        <v>1849876.4151480002</v>
      </c>
      <c r="J21" s="145"/>
      <c r="K21" s="4"/>
      <c r="M21" s="15" t="s">
        <v>301</v>
      </c>
    </row>
    <row r="22" spans="2:13" x14ac:dyDescent="0.25">
      <c r="B22" s="9">
        <v>2018</v>
      </c>
      <c r="E22" s="29">
        <f>+I3</f>
        <v>-5827272</v>
      </c>
      <c r="F22" s="29">
        <f>+I4</f>
        <v>9726442</v>
      </c>
      <c r="G22" s="29">
        <f t="shared" si="0"/>
        <v>3899170</v>
      </c>
      <c r="H22" s="29">
        <f>+I5</f>
        <v>-598389.02429799992</v>
      </c>
      <c r="I22" s="19">
        <f>+G22+H22</f>
        <v>3300780.9757019999</v>
      </c>
      <c r="J22" s="145"/>
      <c r="K22" s="4"/>
      <c r="M22" s="15" t="s">
        <v>302</v>
      </c>
    </row>
    <row r="23" spans="2:13" x14ac:dyDescent="0.25">
      <c r="B23" s="9">
        <v>2019</v>
      </c>
      <c r="E23" s="144">
        <f>+H3</f>
        <v>-8203260</v>
      </c>
      <c r="F23" s="144">
        <f>+H4</f>
        <v>9636341</v>
      </c>
      <c r="G23" s="29">
        <f t="shared" si="0"/>
        <v>1433081</v>
      </c>
      <c r="H23" s="144">
        <f>+H5</f>
        <v>-358270.25</v>
      </c>
      <c r="I23" s="19">
        <f>+G23+H23</f>
        <v>1074810.75</v>
      </c>
      <c r="J23" s="145"/>
      <c r="K23" s="4"/>
      <c r="M23" s="15" t="s">
        <v>310</v>
      </c>
    </row>
    <row r="24" spans="2:13" x14ac:dyDescent="0.25">
      <c r="B24" s="9" t="s">
        <v>298</v>
      </c>
      <c r="C24" s="10"/>
      <c r="D24" s="11"/>
      <c r="E24" s="31">
        <f>SUM(E19:E23)</f>
        <v>-44234293</v>
      </c>
      <c r="F24" s="31">
        <f t="shared" ref="F24:I24" si="1">SUM(F19:F23)</f>
        <v>31687510.476599999</v>
      </c>
      <c r="G24" s="31">
        <f t="shared" si="1"/>
        <v>-12546782.523400001</v>
      </c>
      <c r="H24" s="31">
        <f t="shared" si="1"/>
        <v>3121344.6608500006</v>
      </c>
      <c r="I24" s="31">
        <f t="shared" si="1"/>
        <v>-9425437.8625500016</v>
      </c>
      <c r="J24" s="146"/>
      <c r="K24" s="4"/>
      <c r="M24" s="15"/>
    </row>
    <row r="25" spans="2:13" x14ac:dyDescent="0.25">
      <c r="B25" s="9">
        <v>2020</v>
      </c>
      <c r="C25" s="10"/>
      <c r="D25" s="11"/>
      <c r="E25" s="15">
        <v>0</v>
      </c>
      <c r="F25" s="19">
        <f>(-E24-F24)/3</f>
        <v>4182260.8411333337</v>
      </c>
      <c r="G25" s="29">
        <f>+E25+F25</f>
        <v>4182260.8411333337</v>
      </c>
      <c r="H25" s="19">
        <f>-G25*0.25</f>
        <v>-1045565.2102833334</v>
      </c>
      <c r="I25" s="19">
        <f>+G25+H25</f>
        <v>3136695.6308500003</v>
      </c>
      <c r="M25" s="15"/>
    </row>
    <row r="26" spans="2:13" x14ac:dyDescent="0.25">
      <c r="B26" s="9">
        <v>2021</v>
      </c>
      <c r="C26" s="10"/>
      <c r="D26" s="11"/>
      <c r="E26" s="15">
        <v>0</v>
      </c>
      <c r="F26" s="29">
        <f>+F25</f>
        <v>4182260.8411333337</v>
      </c>
      <c r="G26" s="29">
        <f>+E26+F26</f>
        <v>4182260.8411333337</v>
      </c>
      <c r="H26" s="19">
        <f>-G26*0.25</f>
        <v>-1045565.2102833334</v>
      </c>
      <c r="I26" s="19">
        <f>+G26+H26</f>
        <v>3136695.6308500003</v>
      </c>
      <c r="M26" s="47" t="s">
        <v>360</v>
      </c>
    </row>
    <row r="27" spans="2:13" x14ac:dyDescent="0.25">
      <c r="B27" s="9">
        <v>2022</v>
      </c>
      <c r="C27" s="10"/>
      <c r="D27" s="11"/>
      <c r="E27" s="15">
        <v>0</v>
      </c>
      <c r="F27" s="29">
        <f>+F26</f>
        <v>4182260.8411333337</v>
      </c>
      <c r="G27" s="29">
        <f>+E27+F27</f>
        <v>4182260.8411333337</v>
      </c>
      <c r="H27" s="19">
        <f>-G27*0.25</f>
        <v>-1045565.2102833334</v>
      </c>
      <c r="I27" s="19">
        <f>+G27+H27</f>
        <v>3136695.6308500003</v>
      </c>
      <c r="K27" s="4"/>
      <c r="M27" s="72" t="s">
        <v>333</v>
      </c>
    </row>
    <row r="28" spans="2:13" x14ac:dyDescent="0.25">
      <c r="B28" s="22" t="s">
        <v>17</v>
      </c>
      <c r="C28" s="12"/>
      <c r="D28" s="13"/>
      <c r="E28" s="31">
        <f>SUM(E24:E27)</f>
        <v>-44234293</v>
      </c>
      <c r="F28" s="31">
        <f>SUM(F25:F27)</f>
        <v>12546782.523400001</v>
      </c>
      <c r="G28" s="31">
        <f t="shared" ref="G28:H28" si="2">SUM(G24:G27)</f>
        <v>0</v>
      </c>
      <c r="H28" s="31">
        <f t="shared" si="2"/>
        <v>-15350.969999999739</v>
      </c>
      <c r="I28" s="31">
        <f>SUM(I24:I27)</f>
        <v>-15350.970000000671</v>
      </c>
    </row>
  </sheetData>
  <mergeCells count="2">
    <mergeCell ref="C15:H15"/>
    <mergeCell ref="B18:D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36"/>
  <sheetViews>
    <sheetView workbookViewId="0">
      <selection activeCell="F5" sqref="F5"/>
    </sheetView>
  </sheetViews>
  <sheetFormatPr defaultColWidth="11.42578125" defaultRowHeight="15" x14ac:dyDescent="0.25"/>
  <cols>
    <col min="1" max="1" width="2.7109375" customWidth="1"/>
    <col min="6" max="6" width="11.5703125" bestFit="1" customWidth="1"/>
    <col min="7" max="7" width="12.28515625" customWidth="1"/>
    <col min="8" max="8" width="12.28515625" bestFit="1" customWidth="1"/>
    <col min="9" max="9" width="11.28515625" customWidth="1"/>
    <col min="10" max="10" width="12.7109375" bestFit="1" customWidth="1"/>
    <col min="11" max="11" width="13.7109375" customWidth="1"/>
  </cols>
  <sheetData>
    <row r="2" spans="1:11" x14ac:dyDescent="0.25">
      <c r="A2" s="1" t="s">
        <v>158</v>
      </c>
      <c r="F2" s="54">
        <v>2019</v>
      </c>
      <c r="G2" s="54">
        <v>2018</v>
      </c>
      <c r="H2" s="54">
        <v>2017</v>
      </c>
      <c r="I2" s="54">
        <v>2016</v>
      </c>
      <c r="J2" s="54">
        <v>2015</v>
      </c>
      <c r="K2" s="54">
        <v>2014</v>
      </c>
    </row>
    <row r="4" spans="1:11" x14ac:dyDescent="0.25">
      <c r="B4" t="s">
        <v>159</v>
      </c>
    </row>
    <row r="6" spans="1:11" x14ac:dyDescent="0.25">
      <c r="B6" t="s">
        <v>160</v>
      </c>
      <c r="F6" s="4">
        <f>+ER!H32</f>
        <v>38184363</v>
      </c>
      <c r="G6" s="4">
        <f>+ER!N32</f>
        <v>22482878.449999988</v>
      </c>
      <c r="H6" s="4">
        <f>+ER!T32</f>
        <v>13532502</v>
      </c>
      <c r="I6" s="4">
        <v>2715230.4765999913</v>
      </c>
      <c r="J6" s="4">
        <v>9506438</v>
      </c>
      <c r="K6" s="4">
        <v>26251046</v>
      </c>
    </row>
    <row r="7" spans="1:11" x14ac:dyDescent="0.25">
      <c r="B7" s="113" t="s">
        <v>161</v>
      </c>
      <c r="C7" s="40"/>
      <c r="D7" s="40"/>
      <c r="E7" s="40"/>
      <c r="F7" s="42">
        <f>-ER!H31</f>
        <v>2387497</v>
      </c>
      <c r="G7" s="42">
        <v>3489748</v>
      </c>
      <c r="H7" s="4">
        <v>5632050</v>
      </c>
      <c r="I7" s="4">
        <v>5000570</v>
      </c>
      <c r="J7" s="4">
        <v>4403000</v>
      </c>
      <c r="K7" s="4">
        <v>4144396</v>
      </c>
    </row>
    <row r="8" spans="1:11" ht="17.25" x14ac:dyDescent="0.4">
      <c r="B8" s="55" t="s">
        <v>162</v>
      </c>
      <c r="F8" s="182">
        <f>9736558+21352323-AD!H40</f>
        <v>21452540</v>
      </c>
      <c r="G8" s="57">
        <f>19410412+1818050</f>
        <v>21228462</v>
      </c>
      <c r="H8" s="57">
        <f>+EFE!U12+EFE!U16</f>
        <v>19495936</v>
      </c>
      <c r="I8" s="57">
        <v>20363773.523400001</v>
      </c>
      <c r="J8" s="57">
        <v>19601882</v>
      </c>
      <c r="K8" s="57">
        <v>15975450</v>
      </c>
    </row>
    <row r="9" spans="1:11" x14ac:dyDescent="0.25">
      <c r="B9" t="s">
        <v>163</v>
      </c>
      <c r="F9" s="4">
        <f>SUM(F6:F8)</f>
        <v>62024400</v>
      </c>
      <c r="G9" s="4">
        <f>SUM(G6:G8)</f>
        <v>47201088.449999988</v>
      </c>
      <c r="H9" s="4">
        <f>SUM(H6:H8)</f>
        <v>38660488</v>
      </c>
      <c r="I9" s="4">
        <f>SUM(I6:I8)</f>
        <v>28079573.999999993</v>
      </c>
      <c r="J9" s="4">
        <v>33511320</v>
      </c>
      <c r="K9" s="4">
        <f>SUM(K6:K8)</f>
        <v>46370892</v>
      </c>
    </row>
    <row r="10" spans="1:11" x14ac:dyDescent="0.25">
      <c r="H10" s="4"/>
      <c r="I10" s="4"/>
      <c r="J10" s="4"/>
      <c r="K10" s="4"/>
    </row>
    <row r="11" spans="1:11" x14ac:dyDescent="0.25">
      <c r="B11" t="s">
        <v>164</v>
      </c>
      <c r="F11" s="4">
        <f>-ER!H31</f>
        <v>2387497</v>
      </c>
      <c r="G11" s="4">
        <f>-ER!N31</f>
        <v>3806928</v>
      </c>
      <c r="H11" s="4">
        <f>-ER!T31</f>
        <v>5632050</v>
      </c>
      <c r="I11" s="4">
        <v>4974980</v>
      </c>
      <c r="J11" s="4">
        <v>4323391</v>
      </c>
      <c r="K11" s="4">
        <v>4407118</v>
      </c>
    </row>
    <row r="12" spans="1:11" x14ac:dyDescent="0.25">
      <c r="J12" s="4"/>
      <c r="K12" s="4"/>
    </row>
    <row r="13" spans="1:11" x14ac:dyDescent="0.25">
      <c r="B13" t="s">
        <v>158</v>
      </c>
      <c r="F13" s="111">
        <f>+F9/F11</f>
        <v>25.97883892628975</v>
      </c>
      <c r="G13" s="111">
        <f>+G9/G11</f>
        <v>12.39873421561952</v>
      </c>
      <c r="H13" s="56">
        <f>+H9/H11</f>
        <v>6.8643722978311628</v>
      </c>
      <c r="I13" s="56">
        <f>+I9/I11</f>
        <v>5.6441581674700183</v>
      </c>
      <c r="J13" s="56">
        <v>7.7511656937806457</v>
      </c>
      <c r="K13" s="56">
        <f>+K9/K11</f>
        <v>10.521817659522618</v>
      </c>
    </row>
    <row r="14" spans="1:11" x14ac:dyDescent="0.25">
      <c r="J14" s="4"/>
      <c r="K14" s="4"/>
    </row>
    <row r="15" spans="1:11" x14ac:dyDescent="0.25">
      <c r="A15" s="1" t="s">
        <v>165</v>
      </c>
      <c r="J15" s="4"/>
      <c r="K15" s="4"/>
    </row>
    <row r="16" spans="1:11" x14ac:dyDescent="0.25">
      <c r="J16" s="4"/>
      <c r="K16" s="4"/>
    </row>
    <row r="17" spans="1:11" x14ac:dyDescent="0.25">
      <c r="B17" t="s">
        <v>166</v>
      </c>
      <c r="F17" s="4">
        <f>+ER!H29</f>
        <v>40571860</v>
      </c>
      <c r="G17" s="4">
        <f>+ER!N29</f>
        <v>26289806.449999988</v>
      </c>
      <c r="H17" s="4">
        <f>+ER!T29</f>
        <v>19164552</v>
      </c>
      <c r="I17" s="4">
        <v>7690210.4765999913</v>
      </c>
      <c r="J17" s="4">
        <v>13829829</v>
      </c>
      <c r="K17" s="4">
        <f>+ER!T29</f>
        <v>19164552</v>
      </c>
    </row>
    <row r="18" spans="1:11" x14ac:dyDescent="0.25">
      <c r="J18" s="4"/>
      <c r="K18" s="4"/>
    </row>
    <row r="19" spans="1:11" x14ac:dyDescent="0.25">
      <c r="B19" t="s">
        <v>167</v>
      </c>
      <c r="J19" s="4"/>
      <c r="K19" s="4"/>
    </row>
    <row r="20" spans="1:11" x14ac:dyDescent="0.25">
      <c r="B20" t="s">
        <v>169</v>
      </c>
      <c r="F20" s="4">
        <f>+'BG '!H38+'BG '!H39-54803</f>
        <v>11216005</v>
      </c>
      <c r="G20" s="4">
        <f>+'BG '!N38+'BG '!N39</f>
        <v>25456599</v>
      </c>
      <c r="H20" s="4">
        <f>+'BG '!T38</f>
        <v>27144668</v>
      </c>
      <c r="I20" s="4">
        <v>35009000</v>
      </c>
      <c r="J20" s="4">
        <v>27571049</v>
      </c>
      <c r="K20" s="4">
        <v>24027809</v>
      </c>
    </row>
    <row r="21" spans="1:11" ht="17.25" x14ac:dyDescent="0.4">
      <c r="B21" s="40" t="s">
        <v>168</v>
      </c>
      <c r="C21" s="40"/>
      <c r="F21" s="57">
        <v>54803</v>
      </c>
      <c r="G21" s="93">
        <v>241620</v>
      </c>
      <c r="H21" s="93">
        <v>474206</v>
      </c>
      <c r="I21" s="93">
        <v>468655.79086236435</v>
      </c>
      <c r="J21" s="57">
        <v>369086</v>
      </c>
      <c r="K21" s="57">
        <v>259746</v>
      </c>
    </row>
    <row r="22" spans="1:11" x14ac:dyDescent="0.25">
      <c r="B22" t="s">
        <v>170</v>
      </c>
      <c r="F22" s="4">
        <f>+F20+F21</f>
        <v>11270808</v>
      </c>
      <c r="G22" s="4">
        <f>+G20+G21</f>
        <v>25698219</v>
      </c>
      <c r="H22" s="4">
        <f>+H20+H21</f>
        <v>27618874</v>
      </c>
      <c r="I22" s="4">
        <f>+I20+I21</f>
        <v>35477655.790862367</v>
      </c>
      <c r="J22" s="4">
        <v>27940135</v>
      </c>
      <c r="K22" s="4">
        <f>+K20+K21</f>
        <v>24287555</v>
      </c>
    </row>
    <row r="23" spans="1:11" x14ac:dyDescent="0.25">
      <c r="J23" s="4"/>
      <c r="K23" s="4"/>
    </row>
    <row r="24" spans="1:11" x14ac:dyDescent="0.25">
      <c r="B24" t="s">
        <v>171</v>
      </c>
      <c r="F24" s="56">
        <f>+F17/F22</f>
        <v>3.5997294958799761</v>
      </c>
      <c r="G24" s="56">
        <f>+G17/G22</f>
        <v>1.0230205622420756</v>
      </c>
      <c r="H24" s="56">
        <f>+H17/H22</f>
        <v>0.69389331368107188</v>
      </c>
      <c r="I24" s="56">
        <f>+I17/I22</f>
        <v>0.21676208039034767</v>
      </c>
      <c r="J24" s="56">
        <v>0.49498075080882753</v>
      </c>
      <c r="K24" s="56">
        <f>+K17/K22</f>
        <v>0.78906880499086873</v>
      </c>
    </row>
    <row r="25" spans="1:11" x14ac:dyDescent="0.25">
      <c r="J25" s="4"/>
      <c r="K25" s="4"/>
    </row>
    <row r="26" spans="1:11" x14ac:dyDescent="0.25">
      <c r="A26" s="1" t="s">
        <v>172</v>
      </c>
      <c r="J26" s="4"/>
      <c r="K26" s="4"/>
    </row>
    <row r="27" spans="1:11" x14ac:dyDescent="0.25">
      <c r="J27" s="4"/>
      <c r="K27" s="4"/>
    </row>
    <row r="28" spans="1:11" x14ac:dyDescent="0.25">
      <c r="B28" t="s">
        <v>174</v>
      </c>
      <c r="F28" s="38">
        <f>+F20</f>
        <v>11216005</v>
      </c>
      <c r="G28" s="38">
        <f>+G20</f>
        <v>25456599</v>
      </c>
      <c r="H28" s="38">
        <f>+H20</f>
        <v>27144668</v>
      </c>
      <c r="I28" s="38">
        <v>35009000</v>
      </c>
      <c r="J28" s="4">
        <v>27571049</v>
      </c>
      <c r="K28" s="4">
        <v>24027809</v>
      </c>
    </row>
    <row r="29" spans="1:11" x14ac:dyDescent="0.25">
      <c r="B29" t="s">
        <v>163</v>
      </c>
      <c r="F29" s="38">
        <f>+F9</f>
        <v>62024400</v>
      </c>
      <c r="G29" s="38">
        <f>+G9</f>
        <v>47201088.449999988</v>
      </c>
      <c r="H29" s="38">
        <f>+H9</f>
        <v>38660488</v>
      </c>
      <c r="I29" s="38">
        <v>28079573.999999993</v>
      </c>
      <c r="J29" s="58">
        <v>33511320</v>
      </c>
      <c r="K29" s="58">
        <v>46370892</v>
      </c>
    </row>
    <row r="30" spans="1:11" x14ac:dyDescent="0.25">
      <c r="B30" t="s">
        <v>173</v>
      </c>
      <c r="F30" s="56">
        <f>+F28/F29</f>
        <v>0.18083214025448049</v>
      </c>
      <c r="G30" s="56">
        <f>+G28/G29</f>
        <v>0.53932228759864553</v>
      </c>
      <c r="H30" s="56">
        <f>+H28/H29</f>
        <v>0.70212947130931203</v>
      </c>
      <c r="I30" s="56">
        <f>+I28/I29</f>
        <v>1.2467781740563446</v>
      </c>
      <c r="J30" s="56">
        <v>0.82273837616662071</v>
      </c>
      <c r="K30" s="56">
        <f>+K28/K29</f>
        <v>0.51816577088920346</v>
      </c>
    </row>
    <row r="31" spans="1:11" x14ac:dyDescent="0.25">
      <c r="J31" s="4"/>
      <c r="K31" s="4"/>
    </row>
    <row r="32" spans="1:11" x14ac:dyDescent="0.25">
      <c r="J32" s="4"/>
      <c r="K32" s="4"/>
    </row>
    <row r="35" spans="4:9" x14ac:dyDescent="0.25">
      <c r="D35" s="63" t="s">
        <v>254</v>
      </c>
      <c r="E35" s="7"/>
      <c r="F35" s="7"/>
      <c r="G35" s="7"/>
      <c r="H35" s="7"/>
      <c r="I35" s="10"/>
    </row>
    <row r="36" spans="4:9" x14ac:dyDescent="0.25">
      <c r="D36" s="4" t="s">
        <v>255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32"/>
  <sheetViews>
    <sheetView topLeftCell="A4" workbookViewId="0">
      <selection activeCell="D20" sqref="D20"/>
    </sheetView>
  </sheetViews>
  <sheetFormatPr defaultColWidth="11.42578125" defaultRowHeight="15" x14ac:dyDescent="0.25"/>
  <cols>
    <col min="3" max="3" width="11.5703125" bestFit="1" customWidth="1"/>
    <col min="7" max="7" width="12.7109375" bestFit="1" customWidth="1"/>
    <col min="8" max="8" width="12.5703125" bestFit="1" customWidth="1"/>
    <col min="9" max="9" width="12.7109375" bestFit="1" customWidth="1"/>
    <col min="10" max="10" width="12.5703125" bestFit="1" customWidth="1"/>
  </cols>
  <sheetData>
    <row r="2" spans="2:10" x14ac:dyDescent="0.25">
      <c r="B2" t="s">
        <v>209</v>
      </c>
    </row>
    <row r="4" spans="2:10" x14ac:dyDescent="0.25">
      <c r="C4" s="212" t="s">
        <v>222</v>
      </c>
      <c r="D4" s="212"/>
      <c r="E4" s="212"/>
      <c r="F4" s="78" t="s">
        <v>223</v>
      </c>
      <c r="H4" t="s">
        <v>224</v>
      </c>
    </row>
    <row r="5" spans="2:10" x14ac:dyDescent="0.25">
      <c r="C5">
        <v>2016</v>
      </c>
      <c r="D5">
        <v>2015</v>
      </c>
      <c r="E5">
        <v>2014</v>
      </c>
      <c r="F5" s="78">
        <v>0.33329999999999999</v>
      </c>
      <c r="G5" t="s">
        <v>226</v>
      </c>
      <c r="H5" t="s">
        <v>225</v>
      </c>
      <c r="I5" t="s">
        <v>227</v>
      </c>
      <c r="J5" s="78" t="s">
        <v>154</v>
      </c>
    </row>
    <row r="6" spans="2:10" x14ac:dyDescent="0.25">
      <c r="B6" t="s">
        <v>210</v>
      </c>
      <c r="C6" s="4"/>
      <c r="D6" s="4"/>
      <c r="E6" s="4"/>
      <c r="G6">
        <f>+O21</f>
        <v>0</v>
      </c>
    </row>
    <row r="7" spans="2:10" x14ac:dyDescent="0.25">
      <c r="B7" t="s">
        <v>211</v>
      </c>
      <c r="C7" s="4"/>
      <c r="D7" s="4"/>
      <c r="E7" s="4"/>
      <c r="G7">
        <f t="shared" ref="G7:G17" si="0">+O22</f>
        <v>0</v>
      </c>
    </row>
    <row r="8" spans="2:10" x14ac:dyDescent="0.25">
      <c r="B8" t="s">
        <v>212</v>
      </c>
      <c r="C8" s="4"/>
      <c r="D8" s="4"/>
      <c r="E8" s="4"/>
      <c r="G8">
        <f t="shared" si="0"/>
        <v>0</v>
      </c>
    </row>
    <row r="9" spans="2:10" x14ac:dyDescent="0.25">
      <c r="B9" t="s">
        <v>213</v>
      </c>
      <c r="C9" s="4"/>
      <c r="D9" s="4"/>
      <c r="E9" s="4"/>
      <c r="G9">
        <f t="shared" si="0"/>
        <v>0</v>
      </c>
    </row>
    <row r="10" spans="2:10" x14ac:dyDescent="0.25">
      <c r="B10" t="s">
        <v>214</v>
      </c>
      <c r="C10" s="4"/>
      <c r="D10" s="4"/>
      <c r="E10" s="4"/>
      <c r="G10">
        <f t="shared" si="0"/>
        <v>0</v>
      </c>
    </row>
    <row r="11" spans="2:10" x14ac:dyDescent="0.25">
      <c r="B11" t="s">
        <v>215</v>
      </c>
      <c r="C11" s="4"/>
      <c r="D11" s="4"/>
      <c r="E11" s="4"/>
      <c r="G11">
        <f t="shared" si="0"/>
        <v>0</v>
      </c>
    </row>
    <row r="12" spans="2:10" x14ac:dyDescent="0.25">
      <c r="B12" t="s">
        <v>216</v>
      </c>
      <c r="C12" s="4"/>
      <c r="D12" s="4"/>
      <c r="E12" s="4"/>
      <c r="G12">
        <f t="shared" si="0"/>
        <v>0</v>
      </c>
    </row>
    <row r="13" spans="2:10" x14ac:dyDescent="0.25">
      <c r="B13" t="s">
        <v>217</v>
      </c>
      <c r="C13" s="4"/>
      <c r="D13" s="4"/>
      <c r="E13" s="4"/>
      <c r="G13">
        <f t="shared" si="0"/>
        <v>0</v>
      </c>
    </row>
    <row r="14" spans="2:10" x14ac:dyDescent="0.25">
      <c r="B14" t="s">
        <v>218</v>
      </c>
      <c r="C14" s="4"/>
      <c r="D14" s="4"/>
      <c r="E14" s="4"/>
      <c r="G14">
        <f t="shared" si="0"/>
        <v>0</v>
      </c>
    </row>
    <row r="15" spans="2:10" x14ac:dyDescent="0.25">
      <c r="B15" t="s">
        <v>219</v>
      </c>
      <c r="C15" s="4"/>
      <c r="D15" s="4"/>
      <c r="E15" s="4"/>
      <c r="G15">
        <f t="shared" si="0"/>
        <v>0</v>
      </c>
    </row>
    <row r="16" spans="2:10" x14ac:dyDescent="0.25">
      <c r="B16" t="s">
        <v>220</v>
      </c>
      <c r="C16" s="4"/>
      <c r="D16" s="4"/>
      <c r="E16" s="4"/>
      <c r="G16">
        <f t="shared" si="0"/>
        <v>0</v>
      </c>
    </row>
    <row r="17" spans="2:15" x14ac:dyDescent="0.25">
      <c r="B17" t="s">
        <v>221</v>
      </c>
      <c r="C17" s="4"/>
      <c r="D17" s="4"/>
      <c r="E17" s="4"/>
      <c r="G17">
        <f t="shared" si="0"/>
        <v>0</v>
      </c>
    </row>
    <row r="18" spans="2:15" x14ac:dyDescent="0.25">
      <c r="B18" t="s">
        <v>153</v>
      </c>
      <c r="C18" s="4">
        <v>15846166</v>
      </c>
      <c r="D18" s="4">
        <v>5700370</v>
      </c>
      <c r="E18" s="4">
        <v>1475332</v>
      </c>
      <c r="G18" s="77">
        <f>3922517-2391661</f>
        <v>1530856</v>
      </c>
      <c r="H18" s="4">
        <f>+D18*F5</f>
        <v>1899933.321</v>
      </c>
      <c r="I18" s="4">
        <f>+E18*F5</f>
        <v>491728.1556</v>
      </c>
      <c r="J18" s="4">
        <f>SUM(G18:I18)</f>
        <v>3922517.4766000002</v>
      </c>
    </row>
    <row r="19" spans="2:15" x14ac:dyDescent="0.25">
      <c r="G19" s="38"/>
      <c r="J19" s="4"/>
    </row>
    <row r="20" spans="2:15" x14ac:dyDescent="0.25">
      <c r="C20" t="s">
        <v>210</v>
      </c>
      <c r="D20" t="s">
        <v>211</v>
      </c>
      <c r="E20" t="s">
        <v>212</v>
      </c>
      <c r="F20" t="s">
        <v>213</v>
      </c>
      <c r="G20" t="s">
        <v>214</v>
      </c>
      <c r="H20" t="s">
        <v>215</v>
      </c>
      <c r="I20" t="s">
        <v>216</v>
      </c>
      <c r="J20" t="s">
        <v>217</v>
      </c>
      <c r="K20" t="s">
        <v>218</v>
      </c>
      <c r="L20" t="s">
        <v>219</v>
      </c>
      <c r="M20" t="s">
        <v>220</v>
      </c>
      <c r="N20" t="s">
        <v>221</v>
      </c>
      <c r="O20" t="s">
        <v>153</v>
      </c>
    </row>
    <row r="21" spans="2:15" x14ac:dyDescent="0.25">
      <c r="B21" t="s">
        <v>210</v>
      </c>
      <c r="C21">
        <v>0</v>
      </c>
      <c r="D21">
        <f>(+$C$6*$F$5)/12</f>
        <v>0</v>
      </c>
      <c r="E21">
        <f t="shared" ref="E21:N21" si="1">(+$C$6*$F$5)/12</f>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211</v>
      </c>
    </row>
    <row r="23" spans="2:15" x14ac:dyDescent="0.25">
      <c r="B23" t="s">
        <v>212</v>
      </c>
    </row>
    <row r="24" spans="2:15" x14ac:dyDescent="0.25">
      <c r="B24" t="s">
        <v>213</v>
      </c>
    </row>
    <row r="25" spans="2:15" x14ac:dyDescent="0.25">
      <c r="B25" t="s">
        <v>214</v>
      </c>
    </row>
    <row r="26" spans="2:15" x14ac:dyDescent="0.25">
      <c r="B26" t="s">
        <v>215</v>
      </c>
    </row>
    <row r="27" spans="2:15" x14ac:dyDescent="0.25">
      <c r="B27" t="s">
        <v>216</v>
      </c>
    </row>
    <row r="28" spans="2:15" x14ac:dyDescent="0.25">
      <c r="B28" t="s">
        <v>217</v>
      </c>
    </row>
    <row r="29" spans="2:15" x14ac:dyDescent="0.25">
      <c r="B29" t="s">
        <v>218</v>
      </c>
    </row>
    <row r="30" spans="2:15" x14ac:dyDescent="0.25">
      <c r="B30" t="s">
        <v>219</v>
      </c>
    </row>
    <row r="31" spans="2:15" x14ac:dyDescent="0.25">
      <c r="B31" t="s">
        <v>220</v>
      </c>
    </row>
    <row r="32" spans="2:15" x14ac:dyDescent="0.25">
      <c r="B32" t="s">
        <v>221</v>
      </c>
    </row>
  </sheetData>
  <mergeCells count="1">
    <mergeCell ref="C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Indice</vt:lpstr>
      <vt:lpstr>BG </vt:lpstr>
      <vt:lpstr>ER</vt:lpstr>
      <vt:lpstr>EFE</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CALMEIDA</dc:creator>
  <cp:lastModifiedBy>Carlos Almeida</cp:lastModifiedBy>
  <cp:lastPrinted>2018-05-30T22:27:06Z</cp:lastPrinted>
  <dcterms:created xsi:type="dcterms:W3CDTF">2016-11-10T22:26:48Z</dcterms:created>
  <dcterms:modified xsi:type="dcterms:W3CDTF">2020-04-07T21:10:47Z</dcterms:modified>
</cp:coreProperties>
</file>