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soterra\Fase II Ejecucion\6000 Pruebas de Pasivos\6100 cuentas por pagar\"/>
    </mc:Choice>
  </mc:AlternateContent>
  <bookViews>
    <workbookView xWindow="0" yWindow="0" windowWidth="16380" windowHeight="8190" tabRatio="500" activeTab="2"/>
  </bookViews>
  <sheets>
    <sheet name="General" sheetId="1" r:id="rId1"/>
    <sheet name="Sample Size &amp; Threshold Calc" sheetId="2" state="hidden" r:id="rId2"/>
    <sheet name="Sample Size - Gastos" sheetId="3" r:id="rId3"/>
    <sheet name="Muestreo Gastos" sheetId="4" r:id="rId4"/>
  </sheets>
  <externalReferences>
    <externalReference r:id="rId5"/>
    <externalReference r:id="rId6"/>
  </externalReferences>
  <definedNames>
    <definedName name="__RSE1">#REF!</definedName>
    <definedName name="__RSE2">'[1]p.2 mma calculations'!$I$34</definedName>
    <definedName name="_RSE1">#REF!</definedName>
    <definedName name="_RSE2">#REF!</definedName>
    <definedName name="_RSE3">#REF!</definedName>
    <definedName name="aq">#REF!</definedName>
    <definedName name="AS2DocOpenMode">"AS2DocumentEdit"</definedName>
    <definedName name="AS2NamedRange">12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Depósitos_Tránsito">#REF!</definedName>
    <definedName name="Number_of_Selections">#REF!</definedName>
    <definedName name="Numof_Selections2">#REF!</definedName>
    <definedName name="Ref_1">#REF!</definedName>
    <definedName name="Ref_10">#REF!</definedName>
    <definedName name="Ref_1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TextRefCopy10">#REF!</definedName>
    <definedName name="TextRefCopy11">#REF!</definedName>
    <definedName name="TextRefCopy12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>6</definedName>
    <definedName name="Total_Amount">#REF!</definedName>
    <definedName name="Total_Population2">#REF!</definedName>
    <definedName name="wrn.Aging._.and._.Trend._.Analysis.">{#N/A,#N/A,FALSE,"Aging Summary";#N/A,#N/A,FALSE,"Ratio Analysis";#N/A,#N/A,FALSE,"Test 120 Day Accts";#N/A,#N/A,FALSE,"Tickmarks"}</definedName>
    <definedName name="XREF_COLUMN_1">'[1]p.2 mma calculations'!#REF!</definedName>
    <definedName name="XREF_COLUMN_12">[2]muestreo!#REF!</definedName>
    <definedName name="XREF_COLUMN_4">#REF!</definedName>
    <definedName name="XREF_COLUMN_5">#REF!</definedName>
    <definedName name="XRefActiveRow">#REF!</definedName>
    <definedName name="XRefColumnsCount">3</definedName>
    <definedName name="XRefCopy27">#REF!</definedName>
    <definedName name="XRefCopy27Row">#REF!</definedName>
    <definedName name="XRefCopy28">#REF!</definedName>
    <definedName name="XRefCopy28Row">#REF!</definedName>
    <definedName name="XRefCopy6">#REF!</definedName>
    <definedName name="XRefCopy6Row">#REF!</definedName>
    <definedName name="XRefCopy7">#REF!</definedName>
    <definedName name="XRefCopyRangeCount">5</definedName>
    <definedName name="XRefPaste1">#REF!</definedName>
    <definedName name="XRefPaste10">#REF!</definedName>
    <definedName name="XRefPaste11">#REF!</definedName>
    <definedName name="XRefPaste12">#REF!</definedName>
    <definedName name="XRefPaste13">#REF!</definedName>
    <definedName name="XRefPaste1Row">[1]xref!#REF!</definedName>
    <definedName name="XRefPaste47">#REF!</definedName>
    <definedName name="XRefPaste47Row">#REF!</definedName>
    <definedName name="XRefPaste5Row">[1]xref!#REF!</definedName>
    <definedName name="XRefPaste6Row">[1]xref!#REF!</definedName>
    <definedName name="XRefPaste7">#REF!</definedName>
    <definedName name="XRefPaste8">#REF!</definedName>
    <definedName name="XRefPaste9">#REF!</definedName>
    <definedName name="XRefPasteRangeCount">4</definedName>
  </definedNames>
  <calcPr calcId="162913" iterateDelta="1E-4"/>
</workbook>
</file>

<file path=xl/calcChain.xml><?xml version="1.0" encoding="utf-8"?>
<calcChain xmlns="http://schemas.openxmlformats.org/spreadsheetml/2006/main">
  <c r="B55" i="4" l="1"/>
  <c r="B56" i="4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I77" i="4" l="1"/>
  <c r="F70" i="4"/>
  <c r="C79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C10" i="4"/>
  <c r="A1" i="4"/>
  <c r="F29" i="3"/>
  <c r="E29" i="3"/>
  <c r="D29" i="3"/>
  <c r="C29" i="3"/>
  <c r="D12" i="3"/>
  <c r="E21" i="3" s="1"/>
  <c r="F29" i="2"/>
  <c r="E29" i="2"/>
  <c r="D29" i="2"/>
  <c r="C29" i="2"/>
  <c r="F27" i="2"/>
  <c r="D26" i="2"/>
  <c r="F25" i="2"/>
  <c r="F24" i="2"/>
  <c r="D24" i="2"/>
  <c r="D23" i="2"/>
  <c r="F21" i="2"/>
  <c r="D21" i="2"/>
  <c r="D20" i="2"/>
  <c r="F19" i="2"/>
  <c r="D16" i="2"/>
  <c r="D12" i="2"/>
  <c r="I56" i="4" l="1"/>
  <c r="I62" i="4"/>
  <c r="I57" i="4"/>
  <c r="I63" i="4"/>
  <c r="I55" i="4"/>
  <c r="I58" i="4"/>
  <c r="I64" i="4"/>
  <c r="I65" i="4"/>
  <c r="I60" i="4"/>
  <c r="I66" i="4"/>
  <c r="I61" i="4"/>
  <c r="I67" i="4"/>
  <c r="I59" i="4"/>
  <c r="D16" i="3"/>
  <c r="I51" i="4"/>
  <c r="I19" i="4"/>
  <c r="I21" i="4"/>
  <c r="I49" i="4"/>
  <c r="I31" i="4"/>
  <c r="I14" i="4"/>
  <c r="I33" i="4"/>
  <c r="I37" i="4"/>
  <c r="I39" i="4"/>
  <c r="C23" i="3"/>
  <c r="E24" i="3"/>
  <c r="E19" i="3"/>
  <c r="E25" i="3"/>
  <c r="C20" i="3"/>
  <c r="C26" i="3"/>
  <c r="C21" i="3"/>
  <c r="E27" i="3"/>
  <c r="C27" i="2"/>
  <c r="E25" i="2"/>
  <c r="C24" i="2"/>
  <c r="E22" i="2"/>
  <c r="C21" i="2"/>
  <c r="E19" i="2"/>
  <c r="F26" i="2"/>
  <c r="D25" i="2"/>
  <c r="F23" i="2"/>
  <c r="D22" i="2"/>
  <c r="F20" i="2"/>
  <c r="D19" i="2"/>
  <c r="E26" i="2"/>
  <c r="C25" i="2"/>
  <c r="E23" i="2"/>
  <c r="C22" i="2"/>
  <c r="E20" i="2"/>
  <c r="C19" i="2"/>
  <c r="E27" i="2"/>
  <c r="C26" i="2"/>
  <c r="E24" i="2"/>
  <c r="C23" i="2"/>
  <c r="E21" i="2"/>
  <c r="C20" i="2"/>
  <c r="D14" i="2"/>
  <c r="F22" i="2"/>
  <c r="D27" i="2"/>
  <c r="F26" i="3"/>
  <c r="E22" i="3"/>
  <c r="C27" i="3"/>
  <c r="C24" i="3"/>
  <c r="F19" i="3"/>
  <c r="D21" i="3"/>
  <c r="F22" i="3"/>
  <c r="D24" i="3"/>
  <c r="F25" i="3"/>
  <c r="D27" i="3"/>
  <c r="I15" i="4"/>
  <c r="I26" i="4"/>
  <c r="I35" i="4"/>
  <c r="I44" i="4"/>
  <c r="I53" i="4"/>
  <c r="D20" i="3"/>
  <c r="F21" i="3"/>
  <c r="D23" i="3"/>
  <c r="F24" i="3"/>
  <c r="D26" i="3"/>
  <c r="F27" i="3"/>
  <c r="I54" i="4"/>
  <c r="I48" i="4"/>
  <c r="I42" i="4"/>
  <c r="I36" i="4"/>
  <c r="I30" i="4"/>
  <c r="I24" i="4"/>
  <c r="I18" i="4"/>
  <c r="I52" i="4"/>
  <c r="I46" i="4"/>
  <c r="I40" i="4"/>
  <c r="I34" i="4"/>
  <c r="I28" i="4"/>
  <c r="I22" i="4"/>
  <c r="I17" i="4"/>
  <c r="I23" i="4"/>
  <c r="I32" i="4"/>
  <c r="I41" i="4"/>
  <c r="I50" i="4"/>
  <c r="C19" i="3"/>
  <c r="E20" i="3"/>
  <c r="C22" i="3"/>
  <c r="E23" i="3"/>
  <c r="C25" i="3"/>
  <c r="E26" i="3"/>
  <c r="E10" i="4"/>
  <c r="C11" i="4" s="1"/>
  <c r="I20" i="4"/>
  <c r="I25" i="4"/>
  <c r="I27" i="4"/>
  <c r="I43" i="4"/>
  <c r="I45" i="4"/>
  <c r="D19" i="3"/>
  <c r="F20" i="3"/>
  <c r="D22" i="3"/>
  <c r="F23" i="3"/>
  <c r="D25" i="3"/>
  <c r="I16" i="4"/>
  <c r="I29" i="4"/>
  <c r="I38" i="4"/>
  <c r="I47" i="4"/>
  <c r="C75" i="4" l="1"/>
  <c r="J13" i="4"/>
  <c r="G14" i="4" s="1"/>
  <c r="H14" i="4" l="1"/>
  <c r="J14" i="4" l="1"/>
  <c r="G15" i="4" s="1"/>
  <c r="H15" i="4" l="1"/>
  <c r="J15" i="4" l="1"/>
  <c r="G16" i="4" s="1"/>
  <c r="H16" i="4" l="1"/>
  <c r="J16" i="4" s="1"/>
  <c r="G17" i="4" s="1"/>
  <c r="H17" i="4" l="1"/>
  <c r="J17" i="4" s="1"/>
  <c r="G18" i="4" s="1"/>
  <c r="H18" i="4" l="1"/>
  <c r="J18" i="4" s="1"/>
  <c r="G19" i="4" s="1"/>
  <c r="H19" i="4" l="1"/>
  <c r="J19" i="4" s="1"/>
  <c r="G20" i="4" s="1"/>
  <c r="H20" i="4" l="1"/>
  <c r="J20" i="4" s="1"/>
  <c r="G21" i="4" s="1"/>
  <c r="H21" i="4" l="1"/>
  <c r="J21" i="4" s="1"/>
  <c r="G22" i="4" s="1"/>
  <c r="H22" i="4" l="1"/>
  <c r="J22" i="4" s="1"/>
  <c r="G23" i="4" s="1"/>
  <c r="H23" i="4" l="1"/>
  <c r="J23" i="4" s="1"/>
  <c r="G24" i="4" s="1"/>
  <c r="H24" i="4" l="1"/>
  <c r="J24" i="4" s="1"/>
  <c r="G25" i="4" s="1"/>
  <c r="H25" i="4" l="1"/>
  <c r="J25" i="4" s="1"/>
  <c r="G26" i="4" s="1"/>
  <c r="H26" i="4" l="1"/>
  <c r="J26" i="4" s="1"/>
  <c r="G27" i="4" s="1"/>
  <c r="H27" i="4" l="1"/>
  <c r="J27" i="4" s="1"/>
  <c r="G28" i="4" s="1"/>
  <c r="H28" i="4" l="1"/>
  <c r="J28" i="4" s="1"/>
  <c r="G29" i="4" s="1"/>
  <c r="H29" i="4" l="1"/>
  <c r="J29" i="4" s="1"/>
  <c r="G30" i="4" s="1"/>
  <c r="H30" i="4" l="1"/>
  <c r="J30" i="4" s="1"/>
  <c r="G31" i="4" s="1"/>
  <c r="H31" i="4" l="1"/>
  <c r="J31" i="4" s="1"/>
  <c r="J70" i="4" l="1"/>
  <c r="G32" i="4"/>
  <c r="H32" i="4" l="1"/>
  <c r="J32" i="4" s="1"/>
  <c r="G33" i="4" s="1"/>
  <c r="H33" i="4" l="1"/>
  <c r="J33" i="4" s="1"/>
  <c r="G34" i="4" s="1"/>
  <c r="H34" i="4" l="1"/>
  <c r="J34" i="4" s="1"/>
  <c r="G35" i="4" s="1"/>
  <c r="H35" i="4" l="1"/>
  <c r="J35" i="4" s="1"/>
  <c r="G36" i="4" s="1"/>
  <c r="H36" i="4" l="1"/>
  <c r="J36" i="4" s="1"/>
  <c r="G37" i="4" s="1"/>
  <c r="H37" i="4" l="1"/>
  <c r="J37" i="4" s="1"/>
  <c r="G38" i="4" s="1"/>
  <c r="H38" i="4" l="1"/>
  <c r="J38" i="4" s="1"/>
  <c r="G39" i="4" s="1"/>
  <c r="H39" i="4" l="1"/>
  <c r="J39" i="4" s="1"/>
  <c r="G40" i="4" s="1"/>
  <c r="H40" i="4" l="1"/>
  <c r="J40" i="4" s="1"/>
  <c r="G41" i="4" s="1"/>
  <c r="H41" i="4" l="1"/>
  <c r="J41" i="4" s="1"/>
  <c r="G42" i="4" s="1"/>
  <c r="H42" i="4" l="1"/>
  <c r="J42" i="4" s="1"/>
  <c r="G43" i="4" s="1"/>
  <c r="H43" i="4" l="1"/>
  <c r="J43" i="4" s="1"/>
  <c r="G44" i="4" s="1"/>
  <c r="H44" i="4" l="1"/>
  <c r="J44" i="4" s="1"/>
  <c r="G45" i="4" s="1"/>
  <c r="H45" i="4" l="1"/>
  <c r="J45" i="4" s="1"/>
  <c r="G46" i="4" s="1"/>
  <c r="H46" i="4" l="1"/>
  <c r="J46" i="4" s="1"/>
  <c r="G47" i="4" s="1"/>
  <c r="H47" i="4" l="1"/>
  <c r="J47" i="4" s="1"/>
  <c r="G48" i="4" s="1"/>
  <c r="H48" i="4" l="1"/>
  <c r="J48" i="4" s="1"/>
  <c r="G49" i="4" s="1"/>
  <c r="H49" i="4" l="1"/>
  <c r="J49" i="4" s="1"/>
  <c r="G50" i="4" s="1"/>
  <c r="H50" i="4" l="1"/>
  <c r="J50" i="4" s="1"/>
  <c r="G51" i="4" s="1"/>
  <c r="H51" i="4" l="1"/>
  <c r="J51" i="4" s="1"/>
  <c r="G52" i="4" s="1"/>
  <c r="H52" i="4" l="1"/>
  <c r="J52" i="4" s="1"/>
  <c r="G53" i="4" s="1"/>
  <c r="H53" i="4" l="1"/>
  <c r="J53" i="4" s="1"/>
  <c r="G54" i="4" s="1"/>
  <c r="H54" i="4" l="1"/>
  <c r="J54" i="4" s="1"/>
  <c r="G55" i="4" s="1"/>
  <c r="H55" i="4" l="1"/>
  <c r="J55" i="4"/>
  <c r="G56" i="4" s="1"/>
  <c r="H56" i="4" l="1"/>
  <c r="J56" i="4" l="1"/>
  <c r="G57" i="4" s="1"/>
  <c r="H57" i="4" l="1"/>
  <c r="J57" i="4"/>
  <c r="G58" i="4" s="1"/>
  <c r="H58" i="4" l="1"/>
  <c r="J58" i="4"/>
  <c r="G59" i="4" s="1"/>
  <c r="H59" i="4" s="1"/>
  <c r="J59" i="4" s="1"/>
  <c r="G60" i="4" s="1"/>
  <c r="H60" i="4" l="1"/>
  <c r="J60" i="4"/>
  <c r="G61" i="4" s="1"/>
  <c r="H61" i="4" l="1"/>
  <c r="J61" i="4"/>
  <c r="G62" i="4" s="1"/>
  <c r="H62" i="4" s="1"/>
  <c r="J62" i="4" s="1"/>
  <c r="G63" i="4" s="1"/>
  <c r="H63" i="4" l="1"/>
  <c r="J63" i="4"/>
  <c r="G64" i="4" s="1"/>
  <c r="H64" i="4" l="1"/>
  <c r="J64" i="4"/>
  <c r="G65" i="4" s="1"/>
  <c r="H65" i="4" s="1"/>
  <c r="J65" i="4" s="1"/>
  <c r="G66" i="4" s="1"/>
  <c r="H66" i="4" l="1"/>
  <c r="J66" i="4"/>
  <c r="G67" i="4" s="1"/>
  <c r="H67" i="4" l="1"/>
  <c r="H70" i="4" s="1"/>
  <c r="J67" i="4"/>
  <c r="C76" i="4" l="1"/>
  <c r="C78" i="4" s="1"/>
  <c r="C80" i="4" s="1"/>
  <c r="I78" i="4"/>
</calcChain>
</file>

<file path=xl/sharedStrings.xml><?xml version="1.0" encoding="utf-8"?>
<sst xmlns="http://schemas.openxmlformats.org/spreadsheetml/2006/main" count="171" uniqueCount="88">
  <si>
    <t>Al 31 de Diciembre de 2019</t>
  </si>
  <si>
    <t>Expresado en dólares completos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</si>
  <si>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</si>
  <si>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 Balance: Ingresos seleccionados para ser probadas a traves de procedimientos sustantivos de detalle</t>
  </si>
  <si>
    <t>Objetivo:</t>
  </si>
  <si>
    <t xml:space="preserve">Obtener saldos de clientes a ser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</si>
  <si>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</si>
  <si>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</si>
  <si>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</si>
  <si>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</si>
  <si>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</si>
  <si>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>Conclusion:</t>
  </si>
  <si>
    <t xml:space="preserve"> Las conclusiones sobre los errores potenciales identificados anteriormente serán documentados en PT. 8340</t>
  </si>
  <si>
    <t>New Audit Methodology Sample Size &amp; Threshold Calculator</t>
  </si>
  <si>
    <t>[09-10]</t>
  </si>
  <si>
    <t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</si>
  <si>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>Population Name (</t>
    </r>
    <r>
      <rPr>
        <i/>
        <sz val="8"/>
        <color rgb="FF000000"/>
        <rFont val="Arial"/>
        <family val="2"/>
        <charset val="1"/>
      </rPr>
      <t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</si>
  <si>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</si>
  <si>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</si>
  <si>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>Risk/Controls Strategy:</t>
  </si>
  <si>
    <t>Risk (not significant) &amp; Relying on Controls — Normal Extent of Testing</t>
  </si>
  <si>
    <t>Multiples of PM:</t>
  </si>
  <si>
    <t>Minimum required selections if performing Tests of Details:</t>
  </si>
  <si>
    <t>Threshold if performing Substantive Analytical Procedures:</t>
  </si>
  <si>
    <t xml:space="preserve">Minimum # of 
Selections Required: </t>
  </si>
  <si>
    <t>Risk (not significant) &amp; Relying on Controls — Low Extent of Testing</t>
  </si>
  <si>
    <t>Significant Risk &amp; Relying on Controls, or Risk (not significant) &amp; Not Relying on Controls</t>
  </si>
  <si>
    <t>Significant Risk &amp; Not Relying on Controls</t>
  </si>
  <si>
    <t>PM 1x - 10x</t>
  </si>
  <si>
    <t>PM 10x - 15x</t>
  </si>
  <si>
    <t>PM 15x - 20x</t>
  </si>
  <si>
    <t>PM 20x - 25x</t>
  </si>
  <si>
    <t>PM 25x - 30x</t>
  </si>
  <si>
    <t>PM 30x - 40x</t>
  </si>
  <si>
    <t>PM 40x - 50x</t>
  </si>
  <si>
    <t>PM 50x - 100x</t>
  </si>
  <si>
    <t>PM 100x - 200x</t>
  </si>
  <si>
    <t>Threshold</t>
  </si>
  <si>
    <t>Prueba
N.-</t>
  </si>
  <si>
    <t>Asiento</t>
  </si>
  <si>
    <t>Fecha</t>
  </si>
  <si>
    <t>Descripccion</t>
  </si>
  <si>
    <t>Monto</t>
  </si>
  <si>
    <t xml:space="preserve">Selección Pruebas de Detalle - Cuentas de Balance: Gastos </t>
  </si>
  <si>
    <t>Al 31 de Diciembre del 2019</t>
  </si>
  <si>
    <t>Hoja de Trabajo de Muestreo Monetario Acumulativo</t>
  </si>
  <si>
    <t>Nombre de la cuenta</t>
  </si>
  <si>
    <t>Gastos</t>
  </si>
  <si>
    <t>Población</t>
  </si>
  <si>
    <t>Ver PT</t>
  </si>
  <si>
    <t xml:space="preserve">Tamaño de Muestra </t>
  </si>
  <si>
    <t xml:space="preserve">Intervalo de Muestreo </t>
  </si>
  <si>
    <t>Inicio Aleatorio</t>
  </si>
  <si>
    <t>Partida #</t>
  </si>
  <si>
    <t>Descripción Cuenta</t>
  </si>
  <si>
    <t>Sub-Total</t>
  </si>
  <si>
    <t>Número de Selecciones</t>
  </si>
  <si>
    <t>Intervalo de Muestreo</t>
  </si>
  <si>
    <t>Resto de Selección</t>
  </si>
  <si>
    <t>NO USAR ESTA LÍNEA</t>
  </si>
  <si>
    <t>DEJAR EN BLANCO</t>
  </si>
  <si>
    <t>Fin de partidas</t>
  </si>
  <si>
    <t>Total Población:</t>
  </si>
  <si>
    <t># de Selecciones:</t>
  </si>
  <si>
    <t>MMA</t>
  </si>
  <si>
    <t>Calculo de Tamano Muestra</t>
  </si>
  <si>
    <t>Intervalo de Muestra * # de Selecciones</t>
  </si>
  <si>
    <t>Materialidad</t>
  </si>
  <si>
    <t>Resto de la Selección</t>
  </si>
  <si>
    <t>Tamano de Muestra</t>
  </si>
  <si>
    <t>Población Por Detalle</t>
  </si>
  <si>
    <t>Diferencia</t>
  </si>
  <si>
    <t>TELSOTERRA S.A.</t>
  </si>
  <si>
    <t>Muestreo - Prueba de Pagos Posteriores</t>
  </si>
  <si>
    <t xml:space="preserve">SUELDOS EMPRESAS PRIVADAS  CLIENTES   </t>
  </si>
  <si>
    <t xml:space="preserve">CARGO MAS IVA  PAGO DE ROLES </t>
  </si>
  <si>
    <t xml:space="preserve">CARGO MAS IVA  EMISION REFERENCIAS BANCARIAS </t>
  </si>
  <si>
    <t xml:space="preserve">ORDEN DE COBRO  DE IESS  </t>
  </si>
  <si>
    <t xml:space="preserve">CARGO MAS IVA  COBRO APORTES IESS </t>
  </si>
  <si>
    <t xml:space="preserve">OPERACIONES DE GIRO     </t>
  </si>
  <si>
    <t xml:space="preserve">CARGO MAS IVA  POR SERV.TRANSF.ENV. EXTERIOR </t>
  </si>
  <si>
    <t xml:space="preserve">IMPUESTO SALIDA DIVISAS     </t>
  </si>
  <si>
    <t xml:space="preserve">GASTO DEL EXTERIOR  TRANSF. ENVIADAS  </t>
  </si>
  <si>
    <t xml:space="preserve">COBRO SECTOR PUBLICO  - SRI  </t>
  </si>
  <si>
    <t xml:space="preserve">CARGO MAS IVA  COBRO SECTOR PUBLICO </t>
  </si>
  <si>
    <t xml:space="preserve">CHEQUE DE CAMARA     </t>
  </si>
  <si>
    <t xml:space="preserve">EMISION CHEQUE CERTIFICADO     </t>
  </si>
  <si>
    <t xml:space="preserve">CHEQUE PAGADO VENTANILLA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</si>
</sst>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#,##0_);\(#,##0\)"/>
    <numFmt numFmtId="165" formatCode="_(* #,##0_);_(* \(#,##0\);_(* \-??_);_(@_)"/>
    <numFmt numFmtId="166" formatCode="#,##0.00_);\(#,##0.00\)"/>
    <numFmt numFmtId="167" formatCode="_(* #,##0_);_(* \(#,##0\);_(* \-_);_(@_)"/>
    <numFmt numFmtId="168" formatCode="_(* #,##0.00_);_(* \(#,##0.00\);_(* \-??_);_(@_)"/>
  </numFmts>
  <fonts count="30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b/>
      <u/>
      <sz val="16"/>
      <name val="Arial"/>
      <family val="2"/>
      <charset val="1"/>
    </font>
    <font>
      <sz val="11"/>
      <name val="Arial"/>
      <family val="2"/>
      <charset val="1"/>
    </font>
    <font>
      <b/>
      <sz val="10"/>
      <color rgb="FF4472C4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  <charset val="1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7">
    <xf numFmtId="0" fontId="0" fillId="0" borderId="0"/>
    <xf numFmtId="168" fontId="28" fillId="0" borderId="0" applyBorder="0" applyProtection="0"/>
    <xf numFmtId="44" fontId="2" fillId="0" borderId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Font="1" applyBorder="1"/>
    <xf numFmtId="0" fontId="3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vertical="top"/>
    </xf>
    <xf numFmtId="166" fontId="10" fillId="2" borderId="9" xfId="0" applyNumberFormat="1" applyFont="1" applyFill="1" applyBorder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vertical="top"/>
    </xf>
    <xf numFmtId="164" fontId="11" fillId="2" borderId="9" xfId="0" applyNumberFormat="1" applyFont="1" applyFill="1" applyBorder="1" applyAlignment="1" applyProtection="1">
      <alignment horizontal="center"/>
    </xf>
    <xf numFmtId="164" fontId="11" fillId="0" borderId="0" xfId="0" applyNumberFormat="1" applyFont="1" applyBorder="1" applyAlignment="1" applyProtection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indent="1"/>
    </xf>
    <xf numFmtId="1" fontId="4" fillId="0" borderId="9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4" fillId="0" borderId="0" xfId="0" applyFont="1"/>
    <xf numFmtId="0" fontId="14" fillId="0" borderId="0" xfId="0" applyFont="1" applyBorder="1"/>
    <xf numFmtId="0" fontId="3" fillId="5" borderId="7" xfId="0" applyFont="1" applyFill="1" applyBorder="1" applyAlignment="1" applyProtection="1">
      <alignment horizontal="right"/>
    </xf>
    <xf numFmtId="0" fontId="3" fillId="0" borderId="9" xfId="0" applyFont="1" applyBorder="1" applyAlignment="1">
      <alignment horizontal="center" wrapText="1"/>
    </xf>
    <xf numFmtId="0" fontId="16" fillId="5" borderId="0" xfId="0" applyFont="1" applyFill="1" applyBorder="1"/>
    <xf numFmtId="0" fontId="0" fillId="5" borderId="0" xfId="0" applyFont="1" applyFill="1" applyBorder="1"/>
    <xf numFmtId="0" fontId="0" fillId="5" borderId="6" xfId="0" applyFont="1" applyFill="1" applyBorder="1"/>
    <xf numFmtId="0" fontId="17" fillId="0" borderId="9" xfId="0" applyFont="1" applyBorder="1" applyProtection="1"/>
    <xf numFmtId="0" fontId="0" fillId="5" borderId="0" xfId="0" applyFont="1" applyFill="1" applyBorder="1" applyAlignment="1" applyProtection="1">
      <alignment horizontal="right"/>
    </xf>
    <xf numFmtId="0" fontId="0" fillId="5" borderId="6" xfId="0" applyFont="1" applyFill="1" applyBorder="1" applyProtection="1"/>
    <xf numFmtId="0" fontId="3" fillId="0" borderId="9" xfId="0" applyFont="1" applyBorder="1" applyProtection="1"/>
    <xf numFmtId="0" fontId="16" fillId="5" borderId="0" xfId="0" applyFont="1" applyFill="1" applyBorder="1" applyAlignment="1">
      <alignment horizontal="left"/>
    </xf>
    <xf numFmtId="0" fontId="3" fillId="5" borderId="8" xfId="0" applyFont="1" applyFill="1" applyBorder="1" applyAlignment="1" applyProtection="1">
      <alignment horizontal="right"/>
    </xf>
    <xf numFmtId="167" fontId="0" fillId="0" borderId="0" xfId="0" applyNumberFormat="1"/>
    <xf numFmtId="0" fontId="16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 applyProtection="1">
      <alignment horizontal="right"/>
    </xf>
    <xf numFmtId="0" fontId="0" fillId="5" borderId="11" xfId="0" applyFont="1" applyFill="1" applyBorder="1" applyProtection="1"/>
    <xf numFmtId="0" fontId="18" fillId="0" borderId="0" xfId="0" applyFont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2" xfId="0" applyFont="1" applyBorder="1" applyAlignment="1" applyProtection="1">
      <alignment horizontal="center" wrapText="1"/>
    </xf>
    <xf numFmtId="0" fontId="22" fillId="0" borderId="3" xfId="0" applyFont="1" applyBorder="1" applyAlignment="1">
      <alignment horizontal="center" wrapText="1"/>
    </xf>
    <xf numFmtId="0" fontId="0" fillId="0" borderId="0" xfId="0" applyAlignment="1"/>
    <xf numFmtId="0" fontId="3" fillId="0" borderId="10" xfId="0" applyFont="1" applyBorder="1" applyAlignment="1" applyProtection="1">
      <alignment horizontal="center"/>
    </xf>
    <xf numFmtId="164" fontId="17" fillId="0" borderId="10" xfId="0" applyNumberFormat="1" applyFont="1" applyBorder="1" applyAlignment="1" applyProtection="1">
      <alignment horizontal="center"/>
    </xf>
    <xf numFmtId="164" fontId="17" fillId="0" borderId="10" xfId="0" applyNumberFormat="1" applyFont="1" applyBorder="1" applyAlignment="1">
      <alignment horizontal="center"/>
    </xf>
    <xf numFmtId="164" fontId="17" fillId="0" borderId="10" xfId="0" applyNumberFormat="1" applyFont="1" applyBorder="1" applyAlignment="1" applyProtection="1"/>
    <xf numFmtId="0" fontId="3" fillId="0" borderId="7" xfId="0" applyFont="1" applyBorder="1" applyAlignment="1" applyProtection="1">
      <alignment horizontal="center"/>
    </xf>
    <xf numFmtId="164" fontId="17" fillId="0" borderId="7" xfId="0" applyNumberFormat="1" applyFont="1" applyBorder="1" applyAlignment="1" applyProtection="1">
      <alignment horizontal="center"/>
    </xf>
    <xf numFmtId="164" fontId="17" fillId="0" borderId="7" xfId="0" applyNumberFormat="1" applyFont="1" applyBorder="1" applyAlignment="1">
      <alignment horizontal="center"/>
    </xf>
    <xf numFmtId="164" fontId="17" fillId="0" borderId="7" xfId="0" applyNumberFormat="1" applyFont="1" applyBorder="1" applyAlignment="1" applyProtection="1"/>
    <xf numFmtId="164" fontId="0" fillId="0" borderId="8" xfId="0" applyNumberFormat="1" applyFont="1" applyBorder="1" applyProtection="1"/>
    <xf numFmtId="164" fontId="0" fillId="0" borderId="8" xfId="0" applyNumberFormat="1" applyFont="1" applyBorder="1" applyAlignment="1" applyProtection="1">
      <alignment horizontal="center"/>
    </xf>
    <xf numFmtId="167" fontId="0" fillId="0" borderId="8" xfId="0" applyNumberFormat="1" applyFont="1" applyBorder="1" applyProtection="1"/>
    <xf numFmtId="164" fontId="23" fillId="5" borderId="9" xfId="0" applyNumberFormat="1" applyFont="1" applyFill="1" applyBorder="1" applyAlignment="1">
      <alignment wrapText="1"/>
    </xf>
    <xf numFmtId="164" fontId="23" fillId="5" borderId="9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right"/>
    </xf>
    <xf numFmtId="164" fontId="17" fillId="5" borderId="9" xfId="0" applyNumberFormat="1" applyFont="1" applyFill="1" applyBorder="1"/>
    <xf numFmtId="164" fontId="3" fillId="5" borderId="9" xfId="0" applyNumberFormat="1" applyFont="1" applyFill="1" applyBorder="1" applyAlignment="1" applyProtection="1">
      <alignment horizontal="right"/>
    </xf>
    <xf numFmtId="164" fontId="17" fillId="5" borderId="9" xfId="0" applyNumberFormat="1" applyFont="1" applyFill="1" applyBorder="1" applyAlignment="1">
      <alignment horizontal="center"/>
    </xf>
    <xf numFmtId="164" fontId="0" fillId="5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/>
    <xf numFmtId="167" fontId="0" fillId="0" borderId="0" xfId="0" applyNumberFormat="1" applyFont="1"/>
    <xf numFmtId="164" fontId="24" fillId="5" borderId="13" xfId="0" applyNumberFormat="1" applyFont="1" applyFill="1" applyBorder="1" applyAlignment="1" applyProtection="1">
      <alignment horizontal="left"/>
    </xf>
    <xf numFmtId="0" fontId="25" fillId="5" borderId="4" xfId="0" applyFont="1" applyFill="1" applyBorder="1"/>
    <xf numFmtId="0" fontId="25" fillId="5" borderId="0" xfId="0" applyFont="1" applyFill="1" applyBorder="1"/>
    <xf numFmtId="0" fontId="17" fillId="5" borderId="5" xfId="0" applyFont="1" applyFill="1" applyBorder="1"/>
    <xf numFmtId="0" fontId="25" fillId="5" borderId="6" xfId="0" applyFont="1" applyFill="1" applyBorder="1"/>
    <xf numFmtId="165" fontId="0" fillId="0" borderId="0" xfId="1" applyNumberFormat="1" applyFont="1" applyBorder="1" applyAlignment="1" applyProtection="1"/>
    <xf numFmtId="164" fontId="17" fillId="5" borderId="5" xfId="0" applyNumberFormat="1" applyFont="1" applyFill="1" applyBorder="1" applyAlignment="1" applyProtection="1">
      <alignment horizontal="left"/>
    </xf>
    <xf numFmtId="164" fontId="17" fillId="5" borderId="6" xfId="0" applyNumberFormat="1" applyFont="1" applyFill="1" applyBorder="1" applyProtection="1"/>
    <xf numFmtId="164" fontId="17" fillId="5" borderId="0" xfId="0" applyNumberFormat="1" applyFont="1" applyFill="1" applyBorder="1" applyProtection="1"/>
    <xf numFmtId="165" fontId="27" fillId="0" borderId="0" xfId="1" applyNumberFormat="1" applyFont="1" applyBorder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 applyProtection="1"/>
    <xf numFmtId="164" fontId="17" fillId="5" borderId="5" xfId="0" applyNumberFormat="1" applyFont="1" applyFill="1" applyBorder="1" applyAlignment="1" applyProtection="1">
      <alignment horizontal="left" wrapText="1"/>
    </xf>
    <xf numFmtId="168" fontId="0" fillId="0" borderId="0" xfId="1" applyFont="1" applyBorder="1" applyAlignment="1" applyProtection="1"/>
    <xf numFmtId="0" fontId="0" fillId="0" borderId="0" xfId="0" applyFont="1" applyAlignment="1">
      <alignment horizontal="right" vertical="center"/>
    </xf>
    <xf numFmtId="165" fontId="27" fillId="0" borderId="0" xfId="0" applyNumberFormat="1" applyFont="1" applyBorder="1" applyAlignment="1" applyProtection="1">
      <alignment vertical="center"/>
    </xf>
    <xf numFmtId="164" fontId="17" fillId="5" borderId="11" xfId="0" applyNumberFormat="1" applyFont="1" applyFill="1" applyBorder="1" applyProtection="1"/>
    <xf numFmtId="165" fontId="3" fillId="0" borderId="0" xfId="1" applyNumberFormat="1" applyFont="1" applyBorder="1" applyAlignment="1" applyProtection="1"/>
    <xf numFmtId="0" fontId="3" fillId="0" borderId="0" xfId="0" applyFont="1" applyAlignment="1">
      <alignment horizontal="right"/>
    </xf>
    <xf numFmtId="165" fontId="3" fillId="0" borderId="0" xfId="0" applyNumberFormat="1" applyFont="1" applyBorder="1" applyAlignment="1" applyProtection="1"/>
    <xf numFmtId="164" fontId="17" fillId="5" borderId="14" xfId="0" applyNumberFormat="1" applyFont="1" applyFill="1" applyBorder="1" applyAlignment="1" applyProtection="1">
      <alignment horizontal="left"/>
    </xf>
    <xf numFmtId="164" fontId="17" fillId="5" borderId="12" xfId="0" applyNumberFormat="1" applyFont="1" applyFill="1" applyBorder="1" applyProtection="1"/>
    <xf numFmtId="164" fontId="3" fillId="0" borderId="0" xfId="0" applyNumberFormat="1" applyFont="1" applyAlignment="1" applyProtection="1">
      <alignment horizontal="left"/>
    </xf>
    <xf numFmtId="0" fontId="21" fillId="0" borderId="2" xfId="0" applyFont="1" applyBorder="1" applyAlignment="1" applyProtection="1">
      <alignment wrapText="1"/>
    </xf>
    <xf numFmtId="0" fontId="21" fillId="0" borderId="3" xfId="0" applyFont="1" applyBorder="1" applyAlignment="1" applyProtection="1">
      <alignment wrapText="1"/>
    </xf>
    <xf numFmtId="0" fontId="21" fillId="0" borderId="4" xfId="0" applyFont="1" applyBorder="1" applyAlignment="1" applyProtection="1">
      <alignment wrapText="1"/>
    </xf>
    <xf numFmtId="164" fontId="0" fillId="0" borderId="8" xfId="0" applyNumberFormat="1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164" fontId="0" fillId="0" borderId="8" xfId="0" applyNumberFormat="1" applyFont="1" applyBorder="1" applyProtection="1">
      <protection locked="0"/>
    </xf>
    <xf numFmtId="167" fontId="17" fillId="0" borderId="10" xfId="0" applyNumberFormat="1" applyFont="1" applyBorder="1" applyAlignment="1">
      <alignment horizontal="center"/>
    </xf>
    <xf numFmtId="167" fontId="17" fillId="0" borderId="7" xfId="0" applyNumberFormat="1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4" fontId="29" fillId="0" borderId="8" xfId="0" applyNumberFormat="1" applyFont="1" applyBorder="1" applyAlignment="1">
      <alignment horizontal="center"/>
    </xf>
    <xf numFmtId="0" fontId="29" fillId="0" borderId="8" xfId="0" applyFont="1" applyBorder="1"/>
    <xf numFmtId="44" fontId="29" fillId="0" borderId="8" xfId="2" applyFont="1" applyBorder="1"/>
    <xf numFmtId="167" fontId="17" fillId="0" borderId="4" xfId="0" applyNumberFormat="1" applyFont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0" fontId="12" fillId="3" borderId="10" xfId="0" applyFont="1" applyFill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0" xfId="3" applyBorder="1"/>
    <xf numFmtId="16" fontId="1" fillId="0" borderId="10" xfId="3" applyNumberFormat="1" applyBorder="1"/>
    <xf numFmtId="4" fontId="1" fillId="0" borderId="10" xfId="3" applyNumberFormat="1" applyBorder="1"/>
    <xf numFmtId="0" fontId="1" fillId="0" borderId="7" xfId="3" applyBorder="1"/>
    <xf numFmtId="16" fontId="1" fillId="0" borderId="7" xfId="3" applyNumberFormat="1" applyBorder="1"/>
    <xf numFmtId="4" fontId="1" fillId="0" borderId="7" xfId="3" applyNumberFormat="1" applyBorder="1"/>
    <xf numFmtId="167" fontId="17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wrapText="1"/>
    </xf>
    <xf numFmtId="0" fontId="4" fillId="0" borderId="9" xfId="0" applyFont="1" applyBorder="1" applyAlignment="1" applyProtection="1">
      <alignment horizontal="center"/>
      <protection locked="0"/>
    </xf>
    <xf numFmtId="164" fontId="4" fillId="0" borderId="9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wrapText="1"/>
      <protection locked="0"/>
    </xf>
    <xf numFmtId="0" fontId="15" fillId="5" borderId="10" xfId="0" applyFont="1" applyFill="1" applyBorder="1" applyAlignment="1" applyProtection="1">
      <alignment horizontal="center"/>
    </xf>
    <xf numFmtId="0" fontId="26" fillId="0" borderId="0" xfId="0" applyFont="1" applyBorder="1" applyAlignment="1">
      <alignment horizontal="center"/>
    </xf>
  </cellXfs>
  <cellStyles count="7">
    <cellStyle name="Millares" xfId="1" builtinId="3"/>
    <cellStyle name="Millares 2" xfId="4"/>
    <cellStyle name="Moneda" xfId="2" builtinId="4"/>
    <cellStyle name="Moneda 2" xfId="6"/>
    <cellStyle name="Normal" xfId="0" builtinId="0"/>
    <cellStyle name="Normal 2" xfId="3"/>
    <cellStyle name="Porcentaje 2" xfId="5"/>
  </cellStyles>
  <dxfs count="2">
    <dxf>
      <font>
        <name val="Arial"/>
      </font>
    </dxf>
    <dxf>
      <font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estre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  <cell r="D6">
            <v>1</v>
          </cell>
          <cell r="H6">
            <v>1</v>
          </cell>
        </row>
        <row r="7">
          <cell r="B7">
            <v>2</v>
          </cell>
          <cell r="D7">
            <v>1</v>
          </cell>
          <cell r="H7">
            <v>2</v>
          </cell>
        </row>
        <row r="8">
          <cell r="B8">
            <v>3</v>
          </cell>
          <cell r="D8">
            <v>1</v>
          </cell>
          <cell r="H8">
            <v>3</v>
          </cell>
        </row>
        <row r="9">
          <cell r="B9">
            <v>4</v>
          </cell>
          <cell r="D9">
            <v>1</v>
          </cell>
          <cell r="H9">
            <v>3</v>
          </cell>
        </row>
        <row r="10">
          <cell r="B10">
            <v>5</v>
          </cell>
          <cell r="D10">
            <v>1</v>
          </cell>
          <cell r="H10">
            <v>4</v>
          </cell>
        </row>
        <row r="11">
          <cell r="B11">
            <v>6</v>
          </cell>
          <cell r="D11">
            <v>2</v>
          </cell>
          <cell r="H11">
            <v>5</v>
          </cell>
        </row>
        <row r="12">
          <cell r="B12">
            <v>7</v>
          </cell>
          <cell r="D12">
            <v>2</v>
          </cell>
          <cell r="H12">
            <v>5</v>
          </cell>
        </row>
        <row r="13">
          <cell r="B13">
            <v>8</v>
          </cell>
          <cell r="D13">
            <v>2</v>
          </cell>
          <cell r="H13">
            <v>6</v>
          </cell>
        </row>
        <row r="14">
          <cell r="B14">
            <v>9</v>
          </cell>
          <cell r="D14">
            <v>2</v>
          </cell>
          <cell r="H14">
            <v>7</v>
          </cell>
        </row>
        <row r="15">
          <cell r="B15">
            <v>10</v>
          </cell>
          <cell r="D15">
            <v>2</v>
          </cell>
          <cell r="H15">
            <v>7</v>
          </cell>
          <cell r="L15">
            <v>15</v>
          </cell>
          <cell r="P15">
            <v>30</v>
          </cell>
        </row>
        <row r="16">
          <cell r="B16">
            <v>15</v>
          </cell>
          <cell r="D16">
            <v>3</v>
          </cell>
          <cell r="F16">
            <v>0.2</v>
          </cell>
          <cell r="H16">
            <v>11</v>
          </cell>
          <cell r="J16">
            <v>0.8</v>
          </cell>
          <cell r="L16">
            <v>23</v>
          </cell>
          <cell r="N16">
            <v>1.6</v>
          </cell>
          <cell r="P16">
            <v>45</v>
          </cell>
          <cell r="R16">
            <v>3</v>
          </cell>
        </row>
        <row r="17">
          <cell r="B17">
            <v>20</v>
          </cell>
          <cell r="D17">
            <v>4</v>
          </cell>
          <cell r="F17">
            <v>0.2</v>
          </cell>
          <cell r="H17">
            <v>14</v>
          </cell>
          <cell r="J17">
            <v>0.6</v>
          </cell>
          <cell r="L17">
            <v>30</v>
          </cell>
          <cell r="N17">
            <v>1.4</v>
          </cell>
          <cell r="P17">
            <v>60</v>
          </cell>
          <cell r="R17">
            <v>3</v>
          </cell>
        </row>
        <row r="18">
          <cell r="B18">
            <v>25</v>
          </cell>
          <cell r="D18">
            <v>5</v>
          </cell>
          <cell r="F18">
            <v>0.2</v>
          </cell>
          <cell r="H18">
            <v>18</v>
          </cell>
          <cell r="J18">
            <v>0.8</v>
          </cell>
          <cell r="L18">
            <v>38</v>
          </cell>
          <cell r="N18">
            <v>1.6</v>
          </cell>
          <cell r="P18">
            <v>75</v>
          </cell>
          <cell r="R18">
            <v>3</v>
          </cell>
        </row>
        <row r="19">
          <cell r="B19">
            <v>30</v>
          </cell>
          <cell r="D19">
            <v>6</v>
          </cell>
          <cell r="F19">
            <v>0.2</v>
          </cell>
          <cell r="H19">
            <v>21</v>
          </cell>
          <cell r="J19">
            <v>0.6</v>
          </cell>
          <cell r="L19">
            <v>45</v>
          </cell>
          <cell r="N19">
            <v>1.4</v>
          </cell>
          <cell r="P19">
            <v>75</v>
          </cell>
          <cell r="R19">
            <v>0</v>
          </cell>
        </row>
        <row r="20">
          <cell r="B20">
            <v>40</v>
          </cell>
          <cell r="D20">
            <v>8</v>
          </cell>
          <cell r="F20">
            <v>0.2</v>
          </cell>
          <cell r="H20">
            <v>28</v>
          </cell>
          <cell r="J20">
            <v>0.7</v>
          </cell>
          <cell r="L20">
            <v>60</v>
          </cell>
          <cell r="N20">
            <v>1.5</v>
          </cell>
          <cell r="P20">
            <v>75</v>
          </cell>
          <cell r="R20">
            <v>0</v>
          </cell>
        </row>
        <row r="21">
          <cell r="B21">
            <v>50</v>
          </cell>
          <cell r="D21">
            <v>10</v>
          </cell>
          <cell r="F21">
            <v>0.2</v>
          </cell>
          <cell r="H21">
            <v>35</v>
          </cell>
          <cell r="J21">
            <v>0.7</v>
          </cell>
          <cell r="L21">
            <v>75</v>
          </cell>
          <cell r="N21">
            <v>1.5</v>
          </cell>
          <cell r="P21">
            <v>75</v>
          </cell>
          <cell r="R21">
            <v>0</v>
          </cell>
        </row>
        <row r="22">
          <cell r="B22">
            <v>100</v>
          </cell>
          <cell r="D22">
            <v>20</v>
          </cell>
          <cell r="F22">
            <v>0.2</v>
          </cell>
          <cell r="H22">
            <v>70</v>
          </cell>
          <cell r="J22">
            <v>0.7</v>
          </cell>
          <cell r="L22">
            <v>75</v>
          </cell>
          <cell r="N22">
            <v>0</v>
          </cell>
          <cell r="P22">
            <v>75</v>
          </cell>
          <cell r="R22">
            <v>0</v>
          </cell>
        </row>
        <row r="23">
          <cell r="B23">
            <v>200</v>
          </cell>
          <cell r="D23">
            <v>40</v>
          </cell>
          <cell r="E23" t="str">
            <v>(*)</v>
          </cell>
          <cell r="F23">
            <v>0.2</v>
          </cell>
          <cell r="H23">
            <v>75</v>
          </cell>
          <cell r="J23">
            <v>0.05</v>
          </cell>
          <cell r="N23">
            <v>0</v>
          </cell>
          <cell r="R23">
            <v>0</v>
          </cell>
        </row>
        <row r="36">
          <cell r="D36">
            <v>0.25</v>
          </cell>
          <cell r="H36">
            <v>0.2</v>
          </cell>
          <cell r="L36">
            <v>0.15</v>
          </cell>
          <cell r="P36">
            <v>0.15</v>
          </cell>
        </row>
        <row r="37">
          <cell r="D37">
            <v>0.9</v>
          </cell>
          <cell r="H37">
            <v>0.9</v>
          </cell>
          <cell r="L37">
            <v>0.45</v>
          </cell>
          <cell r="P37">
            <v>0.45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e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="80" zoomScaleNormal="80" workbookViewId="0">
      <selection activeCell="E25" sqref="E25"/>
    </sheetView>
  </sheetViews>
  <sheetFormatPr baseColWidth="10" defaultColWidth="9.140625" defaultRowHeight="12.75" x14ac:dyDescent="0.2"/>
  <cols>
    <col min="1" max="1" width="2.85546875" style="1" customWidth="1"/>
    <col min="2" max="2" width="16" style="1" customWidth="1"/>
    <col min="3" max="3" width="15.5703125" style="1" customWidth="1"/>
    <col min="4" max="4" width="15" style="1" customWidth="1"/>
    <col min="5" max="5" width="14.5703125" style="1" customWidth="1"/>
    <col min="6" max="6" width="13.85546875" style="1" customWidth="1"/>
    <col min="7" max="7" width="15.7109375" style="1" customWidth="1"/>
    <col min="8" max="8" width="15.140625" style="1" customWidth="1"/>
    <col min="9" max="10" width="14.42578125" style="1" customWidth="1"/>
    <col min="11" max="11" width="13.7109375" style="1" customWidth="1"/>
    <col min="12" max="1025" width="9.140625" style="1" customWidth="1"/>
  </cols>
  <sheetData>
    <row r="1" spans="1:10" x14ac:dyDescent="0.2">
      <c r="A1" s="2" t="s">
        <v>72</v>
      </c>
    </row>
    <row r="2" spans="1:10" x14ac:dyDescent="0.2">
      <c r="A2" s="2" t="s">
        <v>73</v>
      </c>
    </row>
    <row r="3" spans="1:10" x14ac:dyDescent="0.2">
      <c r="A3" s="2" t="s">
        <v>0</v>
      </c>
    </row>
    <row r="4" spans="1:10" x14ac:dyDescent="0.2">
      <c r="A4" s="3" t="s">
        <v>1</v>
      </c>
      <c r="B4" s="4"/>
      <c r="C4" s="4"/>
      <c r="D4" s="4"/>
      <c r="E4" s="4"/>
      <c r="F4" s="4"/>
    </row>
    <row r="7" spans="1:10" x14ac:dyDescent="0.2">
      <c r="B7" s="5" t="s">
        <v>2</v>
      </c>
      <c r="C7" s="6"/>
      <c r="D7" s="6"/>
      <c r="E7" s="6"/>
      <c r="F7" s="6"/>
      <c r="G7" s="6"/>
      <c r="H7" s="6"/>
      <c r="I7" s="6"/>
      <c r="J7" s="7"/>
    </row>
    <row r="8" spans="1:10" x14ac:dyDescent="0.2">
      <c r="B8" s="8" t="s">
        <v>3</v>
      </c>
      <c r="C8" s="9"/>
      <c r="D8" s="9"/>
      <c r="E8" s="9"/>
      <c r="F8" s="9"/>
      <c r="G8" s="9"/>
      <c r="H8" s="9"/>
      <c r="I8" s="9"/>
      <c r="J8" s="10"/>
    </row>
    <row r="9" spans="1:10" ht="4.5" customHeight="1" x14ac:dyDescent="0.2">
      <c r="B9" s="11"/>
      <c r="C9" s="9"/>
      <c r="D9" s="9"/>
      <c r="E9" s="9"/>
      <c r="F9" s="9"/>
      <c r="G9" s="9"/>
      <c r="H9" s="9"/>
      <c r="I9" s="9"/>
      <c r="J9" s="10"/>
    </row>
    <row r="10" spans="1:10" x14ac:dyDescent="0.2">
      <c r="B10" s="12" t="s">
        <v>4</v>
      </c>
      <c r="C10" s="13"/>
      <c r="D10" s="13"/>
      <c r="E10" s="13"/>
      <c r="F10" s="13"/>
      <c r="G10" s="13"/>
      <c r="H10" s="13"/>
      <c r="I10" s="13"/>
      <c r="J10" s="14"/>
    </row>
    <row r="11" spans="1:10" x14ac:dyDescent="0.2">
      <c r="B11" s="8" t="s">
        <v>5</v>
      </c>
      <c r="C11" s="9"/>
      <c r="D11" s="9"/>
      <c r="E11" s="9"/>
      <c r="F11" s="9"/>
      <c r="G11" s="9"/>
      <c r="H11" s="9"/>
      <c r="I11" s="9"/>
      <c r="J11" s="10"/>
    </row>
    <row r="12" spans="1:10" ht="4.5" customHeight="1" x14ac:dyDescent="0.2">
      <c r="B12" s="11"/>
      <c r="C12" s="9"/>
      <c r="D12" s="9"/>
      <c r="E12" s="9"/>
      <c r="F12" s="9"/>
      <c r="G12" s="9"/>
      <c r="H12" s="9"/>
      <c r="I12" s="9"/>
      <c r="J12" s="10"/>
    </row>
    <row r="13" spans="1:10" ht="12.75" customHeight="1" x14ac:dyDescent="0.2">
      <c r="B13" s="15" t="s">
        <v>6</v>
      </c>
      <c r="C13" s="13"/>
      <c r="D13" s="13"/>
      <c r="E13" s="13"/>
      <c r="F13" s="13"/>
      <c r="G13" s="13"/>
      <c r="H13" s="13"/>
      <c r="I13" s="13"/>
      <c r="J13" s="14"/>
    </row>
    <row r="14" spans="1:10" ht="14.25" customHeight="1" x14ac:dyDescent="0.2">
      <c r="B14" s="8" t="s">
        <v>7</v>
      </c>
      <c r="C14" s="9"/>
      <c r="D14" s="9"/>
      <c r="E14" s="9"/>
      <c r="F14" s="9"/>
      <c r="G14" s="9"/>
      <c r="H14" s="9"/>
      <c r="I14" s="9"/>
      <c r="J14" s="10"/>
    </row>
    <row r="15" spans="1:10" ht="14.25" customHeight="1" x14ac:dyDescent="0.2">
      <c r="B15" s="8" t="s">
        <v>8</v>
      </c>
      <c r="C15" s="9"/>
      <c r="D15" s="9"/>
      <c r="E15" s="9"/>
      <c r="F15" s="9"/>
      <c r="G15" s="9"/>
      <c r="H15" s="9"/>
      <c r="I15" s="9"/>
      <c r="J15" s="10"/>
    </row>
    <row r="16" spans="1:10" ht="14.25" customHeight="1" x14ac:dyDescent="0.2">
      <c r="B16" s="8" t="s">
        <v>9</v>
      </c>
      <c r="C16" s="9"/>
      <c r="D16" s="9"/>
      <c r="E16" s="9"/>
      <c r="F16" s="9"/>
      <c r="G16" s="9"/>
      <c r="H16" s="9"/>
      <c r="I16" s="9"/>
      <c r="J16" s="10"/>
    </row>
    <row r="17" spans="2:10" ht="14.25" customHeight="1" x14ac:dyDescent="0.2">
      <c r="B17" s="8" t="s">
        <v>10</v>
      </c>
      <c r="C17" s="9"/>
      <c r="D17" s="9"/>
      <c r="E17" s="9"/>
      <c r="F17" s="9"/>
      <c r="G17" s="9"/>
      <c r="H17" s="9"/>
      <c r="I17" s="9"/>
      <c r="J17" s="10"/>
    </row>
    <row r="18" spans="2:10" ht="4.5" customHeight="1" x14ac:dyDescent="0.2">
      <c r="B18" s="16"/>
      <c r="C18" s="13"/>
      <c r="D18" s="13"/>
      <c r="E18" s="13"/>
      <c r="F18" s="13"/>
      <c r="G18" s="13"/>
      <c r="H18" s="13"/>
      <c r="I18" s="13"/>
      <c r="J18" s="14"/>
    </row>
    <row r="19" spans="2:10" ht="12.75" customHeight="1" x14ac:dyDescent="0.2">
      <c r="B19" s="136" t="s">
        <v>11</v>
      </c>
      <c r="C19" s="136"/>
      <c r="D19" s="136"/>
      <c r="E19" s="136"/>
      <c r="F19" s="136"/>
      <c r="G19" s="136"/>
      <c r="H19" s="136"/>
      <c r="I19" s="136"/>
      <c r="J19" s="136"/>
    </row>
    <row r="20" spans="2:10" x14ac:dyDescent="0.2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ht="10.5" customHeight="1" x14ac:dyDescent="0.2">
      <c r="B21" s="137"/>
      <c r="C21" s="137"/>
      <c r="D21" s="137"/>
      <c r="E21" s="137"/>
      <c r="F21" s="137"/>
      <c r="G21" s="137"/>
      <c r="H21" s="137"/>
      <c r="I21" s="137"/>
      <c r="J21" s="137"/>
    </row>
  </sheetData>
  <mergeCells count="2">
    <mergeCell ref="B19:J19"/>
    <mergeCell ref="B21:J21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showGridLines="0" zoomScaleNormal="100" workbookViewId="0">
      <selection activeCell="D8" sqref="D8"/>
    </sheetView>
  </sheetViews>
  <sheetFormatPr baseColWidth="10" defaultColWidth="9.140625" defaultRowHeight="12.75" x14ac:dyDescent="0.2"/>
  <cols>
    <col min="1" max="1" width="2.7109375" style="17" customWidth="1"/>
    <col min="2" max="2" width="24.42578125" style="17" customWidth="1"/>
    <col min="3" max="6" width="30.28515625" style="17" customWidth="1"/>
    <col min="7" max="1025" width="9.140625" style="17" customWidth="1"/>
  </cols>
  <sheetData>
    <row r="1" spans="1:6" x14ac:dyDescent="0.2">
      <c r="A1" s="18" t="s">
        <v>13</v>
      </c>
      <c r="F1" s="19" t="s">
        <v>14</v>
      </c>
    </row>
    <row r="2" spans="1:6" ht="15" customHeight="1" x14ac:dyDescent="0.2">
      <c r="A2" s="20" t="s">
        <v>15</v>
      </c>
      <c r="F2" s="21"/>
    </row>
    <row r="3" spans="1:6" x14ac:dyDescent="0.2">
      <c r="E3" s="22"/>
      <c r="F3" s="22"/>
    </row>
    <row r="4" spans="1:6" x14ac:dyDescent="0.2">
      <c r="B4" s="23" t="s">
        <v>16</v>
      </c>
      <c r="D4" s="138"/>
      <c r="E4" s="138"/>
      <c r="F4" s="24"/>
    </row>
    <row r="5" spans="1:6" ht="8.1" customHeight="1" x14ac:dyDescent="0.2">
      <c r="B5" s="23"/>
      <c r="D5" s="25"/>
      <c r="E5" s="26"/>
      <c r="F5" s="26"/>
    </row>
    <row r="6" spans="1:6" x14ac:dyDescent="0.2">
      <c r="B6" s="23" t="s">
        <v>17</v>
      </c>
      <c r="D6" s="139">
        <v>43478</v>
      </c>
      <c r="E6" s="139"/>
      <c r="F6" s="26"/>
    </row>
    <row r="7" spans="1:6" ht="8.1" customHeight="1" x14ac:dyDescent="0.2">
      <c r="B7" s="23"/>
      <c r="D7" s="27"/>
      <c r="E7" s="26"/>
      <c r="F7" s="26"/>
    </row>
    <row r="8" spans="1:6" x14ac:dyDescent="0.2">
      <c r="B8" s="23" t="s">
        <v>18</v>
      </c>
      <c r="D8" s="139">
        <v>3465</v>
      </c>
      <c r="E8" s="139"/>
      <c r="F8" s="26"/>
    </row>
    <row r="9" spans="1:6" ht="8.1" customHeight="1" x14ac:dyDescent="0.2">
      <c r="B9" s="23"/>
      <c r="D9" s="28"/>
      <c r="E9" s="26"/>
      <c r="F9" s="26"/>
    </row>
    <row r="10" spans="1:6" ht="12.75" customHeight="1" x14ac:dyDescent="0.2">
      <c r="B10" s="23" t="s">
        <v>19</v>
      </c>
      <c r="D10" s="140" t="s">
        <v>20</v>
      </c>
      <c r="E10" s="140"/>
      <c r="F10" s="26"/>
    </row>
    <row r="11" spans="1:6" ht="8.1" customHeight="1" x14ac:dyDescent="0.2">
      <c r="B11" s="23"/>
      <c r="D11" s="25"/>
      <c r="E11" s="26"/>
      <c r="F11" s="26"/>
    </row>
    <row r="12" spans="1:6" x14ac:dyDescent="0.2">
      <c r="B12" s="29" t="s">
        <v>21</v>
      </c>
      <c r="D12" s="30">
        <f>ABS(D6)/ABS(D8)</f>
        <v>12.547763347763349</v>
      </c>
      <c r="E12" s="26"/>
      <c r="F12" s="26"/>
    </row>
    <row r="13" spans="1:6" ht="9" customHeight="1" x14ac:dyDescent="0.2">
      <c r="B13" s="29"/>
      <c r="D13" s="31"/>
    </row>
    <row r="14" spans="1:6" x14ac:dyDescent="0.2">
      <c r="B14" s="32" t="s">
        <v>22</v>
      </c>
      <c r="D14" s="33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32"/>
      <c r="D15" s="34"/>
    </row>
    <row r="16" spans="1:6" x14ac:dyDescent="0.2">
      <c r="B16" s="32" t="s">
        <v>23</v>
      </c>
      <c r="D16" s="33">
        <f>HLOOKUP(D10,C18:F29,12,0)</f>
        <v>3118.5</v>
      </c>
    </row>
    <row r="18" spans="2:6" ht="33.75" x14ac:dyDescent="0.2">
      <c r="B18" s="35" t="s">
        <v>24</v>
      </c>
      <c r="C18" s="36" t="s">
        <v>25</v>
      </c>
      <c r="D18" s="36" t="s">
        <v>20</v>
      </c>
      <c r="E18" s="36" t="s">
        <v>26</v>
      </c>
      <c r="F18" s="36" t="s">
        <v>27</v>
      </c>
    </row>
    <row r="19" spans="2:6" x14ac:dyDescent="0.2">
      <c r="B19" s="37" t="s">
        <v>28</v>
      </c>
      <c r="C19" s="38">
        <f>ROUNDUP(IF(ROUNDUP($D$12,2)&lt;1,1,IF(ROUNDUP($D$12,2)&lt;=10,VLOOKUP(ROUNDUP($D$12,0),'[1]New Audit Methodology Guidance'!$B$6:$D$23,3,0),0)),0)</f>
        <v>0</v>
      </c>
      <c r="D19" s="38">
        <f>ROUNDUP(IF(ROUNDUP($D$12,2)&lt;1,1,IF(ROUNDUP($D$12,2)&lt;=10,VLOOKUP(ROUNDUP($D$12,0),'[1]New Audit Methodology Guidance'!B6:H23,7,0),0)),0)</f>
        <v>0</v>
      </c>
      <c r="E19" s="38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38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37" t="s">
        <v>29</v>
      </c>
      <c r="C20" s="38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38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38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38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spans="2:6" x14ac:dyDescent="0.2">
      <c r="B21" s="37" t="s">
        <v>30</v>
      </c>
      <c r="C21" s="38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38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38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38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37" t="s">
        <v>31</v>
      </c>
      <c r="C22" s="38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38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38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38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37" t="s">
        <v>32</v>
      </c>
      <c r="C23" s="38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38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38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38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37" t="s">
        <v>33</v>
      </c>
      <c r="C24" s="38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38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38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38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37" t="s">
        <v>34</v>
      </c>
      <c r="C25" s="38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38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38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38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37" t="s">
        <v>35</v>
      </c>
      <c r="C26" s="38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38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38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38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37" t="s">
        <v>36</v>
      </c>
      <c r="C27" s="38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38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38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38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37" t="s">
        <v>37</v>
      </c>
      <c r="C29" s="39">
        <f>ABS(IF((ABS($D$6)*'[1]New Audit Methodology Guidance'!D36)&lt;('[1]New Audit Methodology Guidance'!D37*ABS($D$8)),ABS($D$6)*'[1]New Audit Methodology Guidance'!D36,'[1]New Audit Methodology Guidance'!D37*ABS($D$8)))</f>
        <v>3118.5</v>
      </c>
      <c r="D29" s="39">
        <f>ABS(IF((ABS($D$6)*'[1]New Audit Methodology Guidance'!H36)&lt;('[1]New Audit Methodology Guidance'!H37*ABS($D$8)),ABS($D$6)*'[1]New Audit Methodology Guidance'!H36,'[1]New Audit Methodology Guidance'!H37*ABS($D$8)))</f>
        <v>3118.5</v>
      </c>
      <c r="E29" s="39">
        <f>ABS(IF((ABS($D$6)*'[1]New Audit Methodology Guidance'!L36)&lt;('[1]New Audit Methodology Guidance'!L37*ABS($D$8)),ABS($D$6)*'[1]New Audit Methodology Guidance'!L36,'[1]New Audit Methodology Guidance'!L37*ABS($D$8)))</f>
        <v>1559.25</v>
      </c>
      <c r="F29" s="39">
        <f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password="81DA" sheet="1" objects="1" scenarios="1" selectLockedCells="1"/>
  <mergeCells count="4">
    <mergeCell ref="D4:E4"/>
    <mergeCell ref="D6:E6"/>
    <mergeCell ref="D8:E8"/>
    <mergeCell ref="D10:E10"/>
  </mergeCells>
  <conditionalFormatting sqref="C19:F27 C29:F29">
    <cfRule type="cellIs" dxfId="1" priority="2" operator="greaterThan">
      <formula>0</formula>
    </cfRule>
  </conditionalFormatting>
  <dataValidations count="2">
    <dataValidation operator="notEqual" allowBlank="1" showInputMessage="1" errorTitle="Warning" error="You must enter a number." sqref="D6">
      <formula1>0</formula1>
      <formula2>0</formula2>
    </dataValidation>
    <dataValidation type="list" allowBlank="1" showInputMessage="1" showErrorMessage="1" sqref="D10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"/>
  <sheetViews>
    <sheetView showGridLines="0" tabSelected="1" topLeftCell="A16" zoomScale="95" zoomScaleNormal="95" workbookViewId="0">
      <selection activeCell="F43" sqref="F43"/>
    </sheetView>
  </sheetViews>
  <sheetFormatPr baseColWidth="10" defaultColWidth="9.140625" defaultRowHeight="12.75" x14ac:dyDescent="0.2"/>
  <cols>
    <col min="1" max="1" width="2.7109375" style="17" customWidth="1"/>
    <col min="2" max="2" width="24.42578125" style="17" customWidth="1"/>
    <col min="3" max="6" width="30.28515625" style="17" customWidth="1"/>
    <col min="7" max="1025" width="9.140625" style="17" customWidth="1"/>
  </cols>
  <sheetData>
    <row r="1" spans="1:6" x14ac:dyDescent="0.2">
      <c r="A1" s="18" t="s">
        <v>13</v>
      </c>
      <c r="F1" s="19" t="s">
        <v>14</v>
      </c>
    </row>
    <row r="2" spans="1:6" ht="15" customHeight="1" x14ac:dyDescent="0.2">
      <c r="A2" s="20" t="s">
        <v>15</v>
      </c>
      <c r="F2" s="21"/>
    </row>
    <row r="3" spans="1:6" x14ac:dyDescent="0.2">
      <c r="E3" s="22"/>
      <c r="F3" s="22"/>
    </row>
    <row r="4" spans="1:6" x14ac:dyDescent="0.2">
      <c r="B4" s="23" t="s">
        <v>16</v>
      </c>
      <c r="D4" s="138"/>
      <c r="E4" s="138"/>
      <c r="F4" s="24"/>
    </row>
    <row r="5" spans="1:6" ht="8.1" customHeight="1" x14ac:dyDescent="0.2">
      <c r="B5" s="23"/>
      <c r="D5" s="25"/>
      <c r="E5" s="26"/>
      <c r="F5" s="26"/>
    </row>
    <row r="6" spans="1:6" x14ac:dyDescent="0.2">
      <c r="B6" s="23" t="s">
        <v>17</v>
      </c>
      <c r="D6" s="139">
        <v>32943</v>
      </c>
      <c r="E6" s="139"/>
      <c r="F6" s="26"/>
    </row>
    <row r="7" spans="1:6" ht="8.1" customHeight="1" x14ac:dyDescent="0.2">
      <c r="B7" s="23"/>
      <c r="D7" s="27"/>
      <c r="E7" s="26"/>
      <c r="F7" s="26"/>
    </row>
    <row r="8" spans="1:6" x14ac:dyDescent="0.2">
      <c r="B8" s="23" t="s">
        <v>18</v>
      </c>
      <c r="D8" s="139">
        <v>13500</v>
      </c>
      <c r="E8" s="139"/>
      <c r="F8" s="26"/>
    </row>
    <row r="9" spans="1:6" ht="8.1" customHeight="1" x14ac:dyDescent="0.2">
      <c r="B9" s="23"/>
      <c r="D9" s="28"/>
      <c r="E9" s="26"/>
      <c r="F9" s="26"/>
    </row>
    <row r="10" spans="1:6" ht="12.75" customHeight="1" x14ac:dyDescent="0.2">
      <c r="B10" s="23" t="s">
        <v>19</v>
      </c>
      <c r="D10" s="140" t="s">
        <v>25</v>
      </c>
      <c r="E10" s="140"/>
      <c r="F10" s="26"/>
    </row>
    <row r="11" spans="1:6" ht="8.1" customHeight="1" x14ac:dyDescent="0.2">
      <c r="B11" s="23"/>
      <c r="D11" s="25"/>
      <c r="E11" s="26"/>
      <c r="F11" s="26"/>
    </row>
    <row r="12" spans="1:6" x14ac:dyDescent="0.2">
      <c r="B12" s="29" t="s">
        <v>21</v>
      </c>
      <c r="D12" s="30">
        <f>ABS(D6)/ABS(D8)</f>
        <v>2.4402222222222223</v>
      </c>
      <c r="E12" s="26"/>
      <c r="F12" s="26"/>
    </row>
    <row r="13" spans="1:6" ht="9" customHeight="1" x14ac:dyDescent="0.2">
      <c r="B13" s="29"/>
      <c r="D13" s="31"/>
    </row>
    <row r="14" spans="1:6" x14ac:dyDescent="0.2">
      <c r="B14" s="32" t="s">
        <v>22</v>
      </c>
      <c r="D14" s="33">
        <v>6</v>
      </c>
    </row>
    <row r="15" spans="1:6" ht="9" customHeight="1" x14ac:dyDescent="0.2">
      <c r="B15" s="32"/>
      <c r="D15" s="34"/>
    </row>
    <row r="16" spans="1:6" x14ac:dyDescent="0.2">
      <c r="B16" s="32" t="s">
        <v>23</v>
      </c>
      <c r="D16" s="33">
        <f>HLOOKUP(D10,C18:F29,12,0)</f>
        <v>8235.75</v>
      </c>
    </row>
    <row r="18" spans="2:6" ht="33.75" x14ac:dyDescent="0.2">
      <c r="B18" s="35" t="s">
        <v>24</v>
      </c>
      <c r="C18" s="36" t="s">
        <v>25</v>
      </c>
      <c r="D18" s="36" t="s">
        <v>20</v>
      </c>
      <c r="E18" s="36" t="s">
        <v>26</v>
      </c>
      <c r="F18" s="36" t="s">
        <v>27</v>
      </c>
    </row>
    <row r="19" spans="2:6" x14ac:dyDescent="0.2">
      <c r="B19" s="37" t="s">
        <v>28</v>
      </c>
      <c r="C19" s="38">
        <f>ROUNDUP(IF(ROUNDUP($D$12,2)&lt;1,1,IF(ROUNDUP($D$12,2)&lt;=10,VLOOKUP(ROUNDUP($D$12,0),'[1]New Audit Methodology Guidance'!$B$6:$D$23,3,0),0)),0)</f>
        <v>1</v>
      </c>
      <c r="D19" s="38">
        <f>ROUNDUP(IF(ROUNDUP($D$12,2)&lt;1,1,IF(ROUNDUP($D$12,2)&lt;=10,VLOOKUP(ROUNDUP($D$12,0),'[1]New Audit Methodology Guidance'!B6:H23,7,0),0)),0)</f>
        <v>3</v>
      </c>
      <c r="E19" s="38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4</v>
      </c>
      <c r="F19" s="38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7</v>
      </c>
    </row>
    <row r="20" spans="2:6" x14ac:dyDescent="0.2">
      <c r="B20" s="37" t="s">
        <v>29</v>
      </c>
      <c r="C20" s="38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1</v>
      </c>
      <c r="D20" s="38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</v>
      </c>
      <c r="E20" s="38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3</v>
      </c>
      <c r="F20" s="38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8</v>
      </c>
    </row>
    <row r="21" spans="2:6" x14ac:dyDescent="0.2">
      <c r="B21" s="37" t="s">
        <v>30</v>
      </c>
      <c r="C21" s="38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38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38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38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37" t="s">
        <v>31</v>
      </c>
      <c r="C22" s="38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38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38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38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37" t="s">
        <v>32</v>
      </c>
      <c r="C23" s="38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38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38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38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37" t="s">
        <v>33</v>
      </c>
      <c r="C24" s="38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38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38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38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37" t="s">
        <v>34</v>
      </c>
      <c r="C25" s="38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38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38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38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37" t="s">
        <v>35</v>
      </c>
      <c r="C26" s="38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38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38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38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37" t="s">
        <v>36</v>
      </c>
      <c r="C27" s="38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38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38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38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37" t="s">
        <v>37</v>
      </c>
      <c r="C29" s="39">
        <f>ABS(IF((ABS($D$6)*'[1]New Audit Methodology Guidance'!D36)&lt;('[1]New Audit Methodology Guidance'!D37*ABS($D$8)),ABS($D$6)*'[1]New Audit Methodology Guidance'!D36,'[1]New Audit Methodology Guidance'!D37*ABS($D$8)))</f>
        <v>8235.75</v>
      </c>
      <c r="D29" s="39">
        <f>ABS(IF((ABS($D$6)*'[1]New Audit Methodology Guidance'!H36)&lt;('[1]New Audit Methodology Guidance'!H37*ABS($D$8)),ABS($D$6)*'[1]New Audit Methodology Guidance'!H36,'[1]New Audit Methodology Guidance'!H37*ABS($D$8)))</f>
        <v>6588.6</v>
      </c>
      <c r="E29" s="39">
        <f>ABS(IF((ABS($D$6)*'[1]New Audit Methodology Guidance'!L36)&lt;('[1]New Audit Methodology Guidance'!L37*ABS($D$8)),ABS($D$6)*'[1]New Audit Methodology Guidance'!L36,'[1]New Audit Methodology Guidance'!L37*ABS($D$8)))</f>
        <v>4941.45</v>
      </c>
      <c r="F29" s="39">
        <f>ABS(IF((ABS($D$6)*'[1]New Audit Methodology Guidance'!P36)&lt;('[1]New Audit Methodology Guidance'!P37*ABS($D$8)),ABS($D$6)*'[1]New Audit Methodology Guidance'!P36,'[1]New Audit Methodology Guidance'!P37*ABS($D$8)))</f>
        <v>4941.45</v>
      </c>
    </row>
    <row r="33" spans="2:8" ht="22.5" x14ac:dyDescent="0.2">
      <c r="B33" s="125" t="s">
        <v>38</v>
      </c>
      <c r="C33" s="125" t="s">
        <v>39</v>
      </c>
      <c r="D33" s="125" t="s">
        <v>40</v>
      </c>
      <c r="E33" s="125" t="s">
        <v>41</v>
      </c>
      <c r="F33" s="125" t="s">
        <v>42</v>
      </c>
    </row>
    <row r="34" spans="2:8" ht="15" x14ac:dyDescent="0.25">
      <c r="B34" s="126">
        <v>1</v>
      </c>
      <c r="C34" s="128">
        <v>4218280000</v>
      </c>
      <c r="D34" s="129">
        <v>43833</v>
      </c>
      <c r="E34" s="128" t="s">
        <v>74</v>
      </c>
      <c r="F34" s="130">
        <v>6827.85</v>
      </c>
    </row>
    <row r="35" spans="2:8" ht="15" x14ac:dyDescent="0.25">
      <c r="B35" s="126">
        <v>2</v>
      </c>
      <c r="C35" s="131">
        <v>20754</v>
      </c>
      <c r="D35" s="132">
        <v>43840</v>
      </c>
      <c r="E35" s="131" t="s">
        <v>77</v>
      </c>
      <c r="F35" s="131">
        <v>489.51</v>
      </c>
    </row>
    <row r="36" spans="2:8" ht="15" x14ac:dyDescent="0.25">
      <c r="B36" s="126">
        <v>3</v>
      </c>
      <c r="C36" s="131">
        <v>20761</v>
      </c>
      <c r="D36" s="132">
        <v>43840</v>
      </c>
      <c r="E36" s="131" t="s">
        <v>77</v>
      </c>
      <c r="F36" s="133">
        <v>1942.06</v>
      </c>
    </row>
    <row r="37" spans="2:8" ht="15" x14ac:dyDescent="0.25">
      <c r="B37" s="126">
        <v>4</v>
      </c>
      <c r="C37" s="131">
        <v>175700</v>
      </c>
      <c r="D37" s="132">
        <v>43843</v>
      </c>
      <c r="E37" s="131" t="s">
        <v>79</v>
      </c>
      <c r="F37" s="133">
        <v>1777.83</v>
      </c>
    </row>
    <row r="38" spans="2:8" ht="15" x14ac:dyDescent="0.25">
      <c r="B38" s="126">
        <v>5</v>
      </c>
      <c r="C38" s="131">
        <v>4327850000</v>
      </c>
      <c r="D38" s="132">
        <v>43845</v>
      </c>
      <c r="E38" s="131" t="s">
        <v>74</v>
      </c>
      <c r="F38" s="133">
        <v>4495.5</v>
      </c>
    </row>
    <row r="39" spans="2:8" ht="15" x14ac:dyDescent="0.25">
      <c r="B39" s="126">
        <v>6</v>
      </c>
      <c r="C39" s="131">
        <v>4459250000</v>
      </c>
      <c r="D39" s="132">
        <v>43861</v>
      </c>
      <c r="E39" s="131" t="s">
        <v>74</v>
      </c>
      <c r="F39" s="133">
        <v>6473.78</v>
      </c>
    </row>
    <row r="40" spans="2:8" ht="15" x14ac:dyDescent="0.25">
      <c r="B40" s="126">
        <v>7</v>
      </c>
      <c r="C40" s="131">
        <v>8200</v>
      </c>
      <c r="D40" s="132">
        <v>43837</v>
      </c>
      <c r="E40" s="131" t="s">
        <v>85</v>
      </c>
      <c r="F40" s="133">
        <v>1500.52</v>
      </c>
      <c r="H40" s="135"/>
    </row>
    <row r="41" spans="2:8" ht="15" x14ac:dyDescent="0.25">
      <c r="B41" s="126">
        <v>8</v>
      </c>
      <c r="C41" s="131">
        <v>8230</v>
      </c>
      <c r="D41" s="132">
        <v>43846</v>
      </c>
      <c r="E41" s="131" t="s">
        <v>86</v>
      </c>
      <c r="F41" s="133">
        <v>2505.9699999999998</v>
      </c>
      <c r="G41" s="134"/>
      <c r="H41" s="135"/>
    </row>
    <row r="42" spans="2:8" ht="15" x14ac:dyDescent="0.25">
      <c r="B42" s="126">
        <v>9</v>
      </c>
      <c r="C42" s="131">
        <v>8260</v>
      </c>
      <c r="D42" s="132">
        <v>43857</v>
      </c>
      <c r="E42" s="131" t="s">
        <v>85</v>
      </c>
      <c r="F42" s="131">
        <v>213.9</v>
      </c>
      <c r="G42" s="134"/>
      <c r="H42" s="135"/>
    </row>
    <row r="43" spans="2:8" ht="15" x14ac:dyDescent="0.25">
      <c r="B43" s="126">
        <v>10</v>
      </c>
      <c r="C43" s="131">
        <v>8340</v>
      </c>
      <c r="D43" s="132">
        <v>43854</v>
      </c>
      <c r="E43" s="131" t="s">
        <v>85</v>
      </c>
      <c r="F43" s="133">
        <v>1125</v>
      </c>
      <c r="G43" s="134"/>
      <c r="H43" s="135"/>
    </row>
    <row r="44" spans="2:8" ht="15" x14ac:dyDescent="0.25">
      <c r="B44" s="126">
        <v>11</v>
      </c>
      <c r="C44" s="131"/>
      <c r="D44" s="132"/>
      <c r="E44" s="131"/>
      <c r="F44" s="133"/>
      <c r="G44" s="134"/>
      <c r="H44" s="135"/>
    </row>
    <row r="45" spans="2:8" ht="15" x14ac:dyDescent="0.25">
      <c r="B45" s="126">
        <v>12</v>
      </c>
      <c r="C45" s="131"/>
      <c r="D45" s="132"/>
      <c r="E45" s="131"/>
      <c r="F45" s="131"/>
      <c r="H45" s="135"/>
    </row>
    <row r="46" spans="2:8" ht="15" x14ac:dyDescent="0.25">
      <c r="B46" s="126">
        <v>13</v>
      </c>
      <c r="C46" s="131"/>
      <c r="D46" s="132"/>
      <c r="E46" s="131"/>
      <c r="F46" s="133"/>
    </row>
    <row r="47" spans="2:8" ht="15" x14ac:dyDescent="0.25">
      <c r="B47" s="127">
        <v>14</v>
      </c>
      <c r="C47" s="119"/>
      <c r="D47" s="120"/>
      <c r="E47" s="121"/>
      <c r="F47" s="122"/>
    </row>
  </sheetData>
  <mergeCells count="4">
    <mergeCell ref="D4:E4"/>
    <mergeCell ref="D6:E6"/>
    <mergeCell ref="D8:E8"/>
    <mergeCell ref="D10:E10"/>
  </mergeCells>
  <conditionalFormatting sqref="C19:F27 C29:F29">
    <cfRule type="cellIs" dxfId="0" priority="2" operator="greaterThan">
      <formula>0</formula>
    </cfRule>
  </conditionalFormatting>
  <dataValidations count="2">
    <dataValidation operator="notEqual" allowBlank="1" showInputMessage="1" errorTitle="Warning" error="You must enter a number." sqref="D6">
      <formula1>0</formula1>
      <formula2>0</formula2>
    </dataValidation>
    <dataValidation type="list" allowBlank="1" showInputMessage="1" showErrorMessage="1" sqref="D10">
      <formula1>$C$18:$F$18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80"/>
  <sheetViews>
    <sheetView showGridLines="0" topLeftCell="A46" zoomScale="95" zoomScaleNormal="95" workbookViewId="0">
      <selection activeCell="H76" sqref="H76"/>
    </sheetView>
  </sheetViews>
  <sheetFormatPr baseColWidth="10" defaultColWidth="9.140625" defaultRowHeight="12.75" x14ac:dyDescent="0.2"/>
  <cols>
    <col min="1" max="1" width="2.42578125" customWidth="1"/>
    <col min="2" max="2" width="22.85546875" customWidth="1"/>
    <col min="3" max="3" width="20.5703125" customWidth="1"/>
    <col min="4" max="4" width="12.140625" customWidth="1"/>
    <col min="5" max="5" width="63.140625" customWidth="1"/>
    <col min="6" max="6" width="13.140625" customWidth="1"/>
    <col min="7" max="7" width="18.5703125" customWidth="1"/>
    <col min="8" max="8" width="15" customWidth="1"/>
    <col min="9" max="9" width="14.140625" customWidth="1"/>
    <col min="10" max="10" width="12.7109375" customWidth="1"/>
    <col min="11" max="1025" width="9.140625" customWidth="1"/>
  </cols>
  <sheetData>
    <row r="1" spans="1:226" x14ac:dyDescent="0.2">
      <c r="A1" s="2" t="str">
        <f>+General!A1</f>
        <v>TELSOTERRA S.A.</v>
      </c>
    </row>
    <row r="2" spans="1:226" x14ac:dyDescent="0.2">
      <c r="A2" s="2" t="s">
        <v>43</v>
      </c>
    </row>
    <row r="3" spans="1:226" x14ac:dyDescent="0.2">
      <c r="A3" s="3" t="s">
        <v>44</v>
      </c>
      <c r="B3" s="40"/>
      <c r="C3" s="40"/>
      <c r="D3" s="41"/>
    </row>
    <row r="5" spans="1:226" x14ac:dyDescent="0.2">
      <c r="B5" s="1"/>
      <c r="C5" s="1"/>
      <c r="D5" s="1"/>
      <c r="E5" s="1"/>
      <c r="F5" s="1"/>
      <c r="G5" s="1"/>
      <c r="H5" s="1"/>
      <c r="I5" s="1"/>
      <c r="J5" s="1"/>
    </row>
    <row r="6" spans="1:226" s="42" customFormat="1" ht="27" customHeight="1" x14ac:dyDescent="0.3">
      <c r="B6" s="141" t="s">
        <v>45</v>
      </c>
      <c r="C6" s="141"/>
      <c r="D6" s="141"/>
      <c r="E6" s="141"/>
      <c r="F6" s="141"/>
      <c r="G6" s="141"/>
      <c r="H6" s="141"/>
      <c r="I6" s="141"/>
      <c r="J6" s="141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</row>
    <row r="7" spans="1:226" s="43" customFormat="1" ht="14.25" x14ac:dyDescent="0.2">
      <c r="B7" s="44" t="s">
        <v>46</v>
      </c>
      <c r="C7" s="45" t="s">
        <v>47</v>
      </c>
      <c r="D7" s="46"/>
      <c r="E7" s="46"/>
      <c r="F7" s="46"/>
      <c r="G7" s="46"/>
      <c r="H7" s="46"/>
      <c r="I7" s="47"/>
      <c r="J7" s="48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</row>
    <row r="8" spans="1:226" s="42" customFormat="1" ht="14.25" x14ac:dyDescent="0.2">
      <c r="B8" s="44" t="s">
        <v>48</v>
      </c>
      <c r="C8" s="49">
        <v>32943</v>
      </c>
      <c r="D8" s="46"/>
      <c r="E8" s="46" t="s">
        <v>49</v>
      </c>
      <c r="F8" s="46"/>
      <c r="G8" s="46"/>
      <c r="H8" s="47"/>
      <c r="I8" s="50"/>
      <c r="J8" s="5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</row>
    <row r="9" spans="1:226" s="42" customFormat="1" ht="14.25" x14ac:dyDescent="0.2">
      <c r="B9" s="44" t="s">
        <v>50</v>
      </c>
      <c r="C9" s="52">
        <v>16</v>
      </c>
      <c r="D9" s="46"/>
      <c r="E9" s="46"/>
      <c r="F9" s="46"/>
      <c r="G9" s="46"/>
      <c r="H9" s="47"/>
      <c r="I9" s="50"/>
      <c r="J9" s="51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</row>
    <row r="10" spans="1:226" s="42" customFormat="1" ht="14.25" x14ac:dyDescent="0.2">
      <c r="B10" s="44" t="s">
        <v>51</v>
      </c>
      <c r="C10" s="49">
        <f>C8/C9</f>
        <v>2058.9375</v>
      </c>
      <c r="D10" s="46"/>
      <c r="E10" s="53">
        <f>+C10/2</f>
        <v>1029.46875</v>
      </c>
      <c r="F10" s="46"/>
      <c r="G10" s="46"/>
      <c r="H10" s="47"/>
      <c r="I10" s="50"/>
      <c r="J10" s="51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</row>
    <row r="11" spans="1:226" s="42" customFormat="1" ht="14.25" x14ac:dyDescent="0.2">
      <c r="B11" s="54" t="s">
        <v>52</v>
      </c>
      <c r="C11" s="55">
        <f>E10</f>
        <v>1029.46875</v>
      </c>
      <c r="D11" s="46"/>
      <c r="E11" s="56"/>
      <c r="F11" s="56"/>
      <c r="G11" s="56"/>
      <c r="H11" s="57"/>
      <c r="I11" s="58"/>
      <c r="J11" s="5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</row>
    <row r="12" spans="1:226" s="60" customFormat="1" ht="25.5" x14ac:dyDescent="0.2">
      <c r="B12" s="61" t="s">
        <v>53</v>
      </c>
      <c r="C12" s="62" t="s">
        <v>39</v>
      </c>
      <c r="D12" s="62" t="s">
        <v>40</v>
      </c>
      <c r="E12" s="62" t="s">
        <v>54</v>
      </c>
      <c r="F12" s="61" t="s">
        <v>42</v>
      </c>
      <c r="G12" s="61" t="s">
        <v>55</v>
      </c>
      <c r="H12" s="61" t="s">
        <v>56</v>
      </c>
      <c r="I12" s="61" t="s">
        <v>57</v>
      </c>
      <c r="J12" s="61" t="s">
        <v>58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</row>
    <row r="13" spans="1:226" ht="15" customHeight="1" x14ac:dyDescent="0.25">
      <c r="B13" s="64"/>
      <c r="C13" s="111"/>
      <c r="D13" s="112"/>
      <c r="E13" s="112"/>
      <c r="F13" s="113"/>
      <c r="G13" s="65"/>
      <c r="H13" s="65"/>
      <c r="I13" s="65"/>
      <c r="J13" s="123">
        <f>-$C$11</f>
        <v>-1029.46875</v>
      </c>
    </row>
    <row r="14" spans="1:226" s="66" customFormat="1" ht="12.75" customHeight="1" x14ac:dyDescent="0.25">
      <c r="B14" s="67">
        <v>1</v>
      </c>
      <c r="C14" s="128">
        <v>4218280000</v>
      </c>
      <c r="D14" s="129">
        <v>43833</v>
      </c>
      <c r="E14" s="128" t="s">
        <v>74</v>
      </c>
      <c r="F14" s="130">
        <v>6827.85</v>
      </c>
      <c r="G14" s="117">
        <f t="shared" ref="G14:G54" si="0">F14+J13</f>
        <v>5798.3812500000004</v>
      </c>
      <c r="H14" s="68">
        <f t="shared" ref="H14:H54" si="1">IF(G14&gt;0,ROUND(G14/I14+0.5,0),0)</f>
        <v>3</v>
      </c>
      <c r="I14" s="69">
        <f t="shared" ref="I14:I67" si="2">$C$10</f>
        <v>2058.9375</v>
      </c>
      <c r="J14" s="70">
        <f t="shared" ref="J14:J54" si="3">G14-(H14*I14)</f>
        <v>-378.43124999999964</v>
      </c>
    </row>
    <row r="15" spans="1:226" s="66" customFormat="1" ht="12.75" customHeight="1" x14ac:dyDescent="0.25">
      <c r="B15" s="71">
        <f t="shared" ref="B15:B67" si="4">+B14+1</f>
        <v>2</v>
      </c>
      <c r="C15" s="131">
        <v>4634180000</v>
      </c>
      <c r="D15" s="132">
        <v>43836</v>
      </c>
      <c r="E15" s="131" t="s">
        <v>75</v>
      </c>
      <c r="F15" s="131">
        <v>5.7</v>
      </c>
      <c r="G15" s="118">
        <f t="shared" si="0"/>
        <v>-372.73124999999965</v>
      </c>
      <c r="H15" s="72">
        <f t="shared" si="1"/>
        <v>0</v>
      </c>
      <c r="I15" s="73">
        <f t="shared" si="2"/>
        <v>2058.9375</v>
      </c>
      <c r="J15" s="74">
        <f t="shared" si="3"/>
        <v>-372.73124999999965</v>
      </c>
    </row>
    <row r="16" spans="1:226" s="66" customFormat="1" ht="12.75" customHeight="1" x14ac:dyDescent="0.25">
      <c r="B16" s="71">
        <f t="shared" si="4"/>
        <v>3</v>
      </c>
      <c r="C16" s="131">
        <v>107202001</v>
      </c>
      <c r="D16" s="132">
        <v>43839</v>
      </c>
      <c r="E16" s="131" t="s">
        <v>76</v>
      </c>
      <c r="F16" s="131">
        <v>2.52</v>
      </c>
      <c r="G16" s="118">
        <f t="shared" si="0"/>
        <v>-370.21124999999967</v>
      </c>
      <c r="H16" s="72">
        <f t="shared" si="1"/>
        <v>0</v>
      </c>
      <c r="I16" s="73">
        <f t="shared" si="2"/>
        <v>2058.9375</v>
      </c>
      <c r="J16" s="74">
        <f t="shared" si="3"/>
        <v>-370.21124999999967</v>
      </c>
    </row>
    <row r="17" spans="2:10" s="66" customFormat="1" ht="12.75" customHeight="1" x14ac:dyDescent="0.25">
      <c r="B17" s="71">
        <f t="shared" si="4"/>
        <v>4</v>
      </c>
      <c r="C17" s="131">
        <v>107202001</v>
      </c>
      <c r="D17" s="132">
        <v>43839</v>
      </c>
      <c r="E17" s="131" t="s">
        <v>76</v>
      </c>
      <c r="F17" s="131">
        <v>2.52</v>
      </c>
      <c r="G17" s="118">
        <f t="shared" si="0"/>
        <v>-367.69124999999968</v>
      </c>
      <c r="H17" s="72">
        <f t="shared" si="1"/>
        <v>0</v>
      </c>
      <c r="I17" s="73">
        <f t="shared" si="2"/>
        <v>2058.9375</v>
      </c>
      <c r="J17" s="74">
        <f t="shared" si="3"/>
        <v>-367.69124999999968</v>
      </c>
    </row>
    <row r="18" spans="2:10" s="66" customFormat="1" ht="12.75" customHeight="1" x14ac:dyDescent="0.25">
      <c r="B18" s="71">
        <f t="shared" si="4"/>
        <v>5</v>
      </c>
      <c r="C18" s="131">
        <v>107202001</v>
      </c>
      <c r="D18" s="132">
        <v>43839</v>
      </c>
      <c r="E18" s="131" t="s">
        <v>76</v>
      </c>
      <c r="F18" s="131">
        <v>2.52</v>
      </c>
      <c r="G18" s="118">
        <f t="shared" si="0"/>
        <v>-365.1712499999997</v>
      </c>
      <c r="H18" s="72">
        <f t="shared" si="1"/>
        <v>0</v>
      </c>
      <c r="I18" s="73">
        <f t="shared" si="2"/>
        <v>2058.9375</v>
      </c>
      <c r="J18" s="74">
        <f t="shared" si="3"/>
        <v>-365.1712499999997</v>
      </c>
    </row>
    <row r="19" spans="2:10" s="66" customFormat="1" ht="12.75" customHeight="1" x14ac:dyDescent="0.25">
      <c r="B19" s="71">
        <f t="shared" si="4"/>
        <v>6</v>
      </c>
      <c r="C19" s="131">
        <v>107202001</v>
      </c>
      <c r="D19" s="132">
        <v>43839</v>
      </c>
      <c r="E19" s="131" t="s">
        <v>76</v>
      </c>
      <c r="F19" s="131">
        <v>2.52</v>
      </c>
      <c r="G19" s="118">
        <f t="shared" si="0"/>
        <v>-362.65124999999972</v>
      </c>
      <c r="H19" s="72">
        <f t="shared" si="1"/>
        <v>0</v>
      </c>
      <c r="I19" s="73">
        <f t="shared" si="2"/>
        <v>2058.9375</v>
      </c>
      <c r="J19" s="74">
        <f t="shared" si="3"/>
        <v>-362.65124999999972</v>
      </c>
    </row>
    <row r="20" spans="2:10" s="66" customFormat="1" ht="12.75" customHeight="1" x14ac:dyDescent="0.25">
      <c r="B20" s="71">
        <f t="shared" si="4"/>
        <v>7</v>
      </c>
      <c r="C20" s="131">
        <v>20754</v>
      </c>
      <c r="D20" s="132">
        <v>43840</v>
      </c>
      <c r="E20" s="131" t="s">
        <v>77</v>
      </c>
      <c r="F20" s="131">
        <v>489.51</v>
      </c>
      <c r="G20" s="118">
        <f t="shared" si="0"/>
        <v>126.85875000000027</v>
      </c>
      <c r="H20" s="72">
        <f t="shared" si="1"/>
        <v>1</v>
      </c>
      <c r="I20" s="73">
        <f t="shared" si="2"/>
        <v>2058.9375</v>
      </c>
      <c r="J20" s="74">
        <f t="shared" si="3"/>
        <v>-1932.0787499999997</v>
      </c>
    </row>
    <row r="21" spans="2:10" s="66" customFormat="1" ht="12.75" customHeight="1" x14ac:dyDescent="0.25">
      <c r="B21" s="71">
        <f t="shared" si="4"/>
        <v>8</v>
      </c>
      <c r="C21" s="131">
        <v>20754</v>
      </c>
      <c r="D21" s="132">
        <v>43840</v>
      </c>
      <c r="E21" s="131" t="s">
        <v>78</v>
      </c>
      <c r="F21" s="131">
        <v>0.22</v>
      </c>
      <c r="G21" s="118">
        <f t="shared" si="0"/>
        <v>-1931.8587499999996</v>
      </c>
      <c r="H21" s="72">
        <f t="shared" si="1"/>
        <v>0</v>
      </c>
      <c r="I21" s="73">
        <f t="shared" si="2"/>
        <v>2058.9375</v>
      </c>
      <c r="J21" s="74">
        <f t="shared" si="3"/>
        <v>-1931.8587499999996</v>
      </c>
    </row>
    <row r="22" spans="2:10" s="66" customFormat="1" ht="12.75" customHeight="1" x14ac:dyDescent="0.25">
      <c r="B22" s="71">
        <f t="shared" si="4"/>
        <v>9</v>
      </c>
      <c r="C22" s="131">
        <v>20755</v>
      </c>
      <c r="D22" s="132">
        <v>43840</v>
      </c>
      <c r="E22" s="131" t="s">
        <v>77</v>
      </c>
      <c r="F22" s="131">
        <v>88.66</v>
      </c>
      <c r="G22" s="118">
        <f t="shared" si="0"/>
        <v>-1843.1987499999996</v>
      </c>
      <c r="H22" s="72">
        <f t="shared" si="1"/>
        <v>0</v>
      </c>
      <c r="I22" s="73">
        <f t="shared" si="2"/>
        <v>2058.9375</v>
      </c>
      <c r="J22" s="74">
        <f t="shared" si="3"/>
        <v>-1843.1987499999996</v>
      </c>
    </row>
    <row r="23" spans="2:10" s="66" customFormat="1" ht="12.75" customHeight="1" x14ac:dyDescent="0.25">
      <c r="B23" s="71">
        <f t="shared" si="4"/>
        <v>10</v>
      </c>
      <c r="C23" s="131">
        <v>20755</v>
      </c>
      <c r="D23" s="132">
        <v>43840</v>
      </c>
      <c r="E23" s="131" t="s">
        <v>78</v>
      </c>
      <c r="F23" s="131">
        <v>0.22</v>
      </c>
      <c r="G23" s="118">
        <f t="shared" si="0"/>
        <v>-1842.9787499999995</v>
      </c>
      <c r="H23" s="72">
        <f t="shared" si="1"/>
        <v>0</v>
      </c>
      <c r="I23" s="73">
        <f t="shared" si="2"/>
        <v>2058.9375</v>
      </c>
      <c r="J23" s="74">
        <f t="shared" si="3"/>
        <v>-1842.9787499999995</v>
      </c>
    </row>
    <row r="24" spans="2:10" s="66" customFormat="1" ht="12.75" customHeight="1" x14ac:dyDescent="0.25">
      <c r="B24" s="71">
        <f t="shared" si="4"/>
        <v>11</v>
      </c>
      <c r="C24" s="131">
        <v>20756</v>
      </c>
      <c r="D24" s="132">
        <v>43840</v>
      </c>
      <c r="E24" s="131" t="s">
        <v>77</v>
      </c>
      <c r="F24" s="131">
        <v>8.9600000000000009</v>
      </c>
      <c r="G24" s="118">
        <f t="shared" si="0"/>
        <v>-1834.0187499999995</v>
      </c>
      <c r="H24" s="72">
        <f t="shared" si="1"/>
        <v>0</v>
      </c>
      <c r="I24" s="73">
        <f t="shared" si="2"/>
        <v>2058.9375</v>
      </c>
      <c r="J24" s="74">
        <f t="shared" si="3"/>
        <v>-1834.0187499999995</v>
      </c>
    </row>
    <row r="25" spans="2:10" s="66" customFormat="1" ht="12.75" customHeight="1" x14ac:dyDescent="0.25">
      <c r="B25" s="71">
        <f t="shared" si="4"/>
        <v>12</v>
      </c>
      <c r="C25" s="131">
        <v>20756</v>
      </c>
      <c r="D25" s="132">
        <v>43840</v>
      </c>
      <c r="E25" s="131" t="s">
        <v>78</v>
      </c>
      <c r="F25" s="131">
        <v>0.22</v>
      </c>
      <c r="G25" s="118">
        <f t="shared" si="0"/>
        <v>-1833.7987499999995</v>
      </c>
      <c r="H25" s="72">
        <f t="shared" si="1"/>
        <v>0</v>
      </c>
      <c r="I25" s="73">
        <f t="shared" si="2"/>
        <v>2058.9375</v>
      </c>
      <c r="J25" s="74">
        <f t="shared" si="3"/>
        <v>-1833.7987499999995</v>
      </c>
    </row>
    <row r="26" spans="2:10" s="66" customFormat="1" ht="12.75" customHeight="1" x14ac:dyDescent="0.25">
      <c r="B26" s="71">
        <f t="shared" si="4"/>
        <v>13</v>
      </c>
      <c r="C26" s="131">
        <v>20757</v>
      </c>
      <c r="D26" s="132">
        <v>43840</v>
      </c>
      <c r="E26" s="131" t="s">
        <v>77</v>
      </c>
      <c r="F26" s="131">
        <v>4.71</v>
      </c>
      <c r="G26" s="118">
        <f t="shared" si="0"/>
        <v>-1829.0887499999994</v>
      </c>
      <c r="H26" s="72">
        <f t="shared" si="1"/>
        <v>0</v>
      </c>
      <c r="I26" s="73">
        <f t="shared" si="2"/>
        <v>2058.9375</v>
      </c>
      <c r="J26" s="74">
        <f t="shared" si="3"/>
        <v>-1829.0887499999994</v>
      </c>
    </row>
    <row r="27" spans="2:10" s="66" customFormat="1" ht="12.75" customHeight="1" x14ac:dyDescent="0.25">
      <c r="B27" s="71">
        <f t="shared" si="4"/>
        <v>14</v>
      </c>
      <c r="C27" s="131">
        <v>20757</v>
      </c>
      <c r="D27" s="132">
        <v>43840</v>
      </c>
      <c r="E27" s="131" t="s">
        <v>78</v>
      </c>
      <c r="F27" s="131">
        <v>0.22</v>
      </c>
      <c r="G27" s="118">
        <f t="shared" si="0"/>
        <v>-1828.8687499999994</v>
      </c>
      <c r="H27" s="72">
        <f t="shared" si="1"/>
        <v>0</v>
      </c>
      <c r="I27" s="73">
        <f t="shared" si="2"/>
        <v>2058.9375</v>
      </c>
      <c r="J27" s="74">
        <f t="shared" si="3"/>
        <v>-1828.8687499999994</v>
      </c>
    </row>
    <row r="28" spans="2:10" s="66" customFormat="1" ht="12.75" customHeight="1" x14ac:dyDescent="0.25">
      <c r="B28" s="71">
        <f t="shared" si="4"/>
        <v>15</v>
      </c>
      <c r="C28" s="131">
        <v>20758</v>
      </c>
      <c r="D28" s="132">
        <v>43840</v>
      </c>
      <c r="E28" s="131" t="s">
        <v>77</v>
      </c>
      <c r="F28" s="131">
        <v>8.15</v>
      </c>
      <c r="G28" s="118">
        <f t="shared" si="0"/>
        <v>-1820.7187499999993</v>
      </c>
      <c r="H28" s="72">
        <f t="shared" si="1"/>
        <v>0</v>
      </c>
      <c r="I28" s="73">
        <f t="shared" si="2"/>
        <v>2058.9375</v>
      </c>
      <c r="J28" s="74">
        <f t="shared" si="3"/>
        <v>-1820.7187499999993</v>
      </c>
    </row>
    <row r="29" spans="2:10" s="66" customFormat="1" ht="12.75" customHeight="1" x14ac:dyDescent="0.25">
      <c r="B29" s="71">
        <f t="shared" si="4"/>
        <v>16</v>
      </c>
      <c r="C29" s="131">
        <v>20758</v>
      </c>
      <c r="D29" s="132">
        <v>43840</v>
      </c>
      <c r="E29" s="131" t="s">
        <v>78</v>
      </c>
      <c r="F29" s="131">
        <v>0.22</v>
      </c>
      <c r="G29" s="118">
        <f t="shared" si="0"/>
        <v>-1820.4987499999993</v>
      </c>
      <c r="H29" s="72">
        <f t="shared" si="1"/>
        <v>0</v>
      </c>
      <c r="I29" s="73">
        <f t="shared" si="2"/>
        <v>2058.9375</v>
      </c>
      <c r="J29" s="74">
        <f t="shared" si="3"/>
        <v>-1820.4987499999993</v>
      </c>
    </row>
    <row r="30" spans="2:10" s="66" customFormat="1" ht="12.75" customHeight="1" x14ac:dyDescent="0.25">
      <c r="B30" s="71">
        <f t="shared" si="4"/>
        <v>17</v>
      </c>
      <c r="C30" s="131">
        <v>20759</v>
      </c>
      <c r="D30" s="132">
        <v>43840</v>
      </c>
      <c r="E30" s="131" t="s">
        <v>77</v>
      </c>
      <c r="F30" s="131">
        <v>6.28</v>
      </c>
      <c r="G30" s="118">
        <f t="shared" si="0"/>
        <v>-1814.2187499999993</v>
      </c>
      <c r="H30" s="72">
        <f t="shared" si="1"/>
        <v>0</v>
      </c>
      <c r="I30" s="73">
        <f t="shared" si="2"/>
        <v>2058.9375</v>
      </c>
      <c r="J30" s="74">
        <f t="shared" si="3"/>
        <v>-1814.2187499999993</v>
      </c>
    </row>
    <row r="31" spans="2:10" s="66" customFormat="1" ht="12.75" customHeight="1" x14ac:dyDescent="0.25">
      <c r="B31" s="71">
        <f t="shared" si="4"/>
        <v>18</v>
      </c>
      <c r="C31" s="131">
        <v>20759</v>
      </c>
      <c r="D31" s="132">
        <v>43840</v>
      </c>
      <c r="E31" s="131" t="s">
        <v>78</v>
      </c>
      <c r="F31" s="131">
        <v>0.22</v>
      </c>
      <c r="G31" s="118">
        <f t="shared" si="0"/>
        <v>-1813.9987499999993</v>
      </c>
      <c r="H31" s="72">
        <f t="shared" si="1"/>
        <v>0</v>
      </c>
      <c r="I31" s="73">
        <f t="shared" si="2"/>
        <v>2058.9375</v>
      </c>
      <c r="J31" s="74">
        <f t="shared" si="3"/>
        <v>-1813.9987499999993</v>
      </c>
    </row>
    <row r="32" spans="2:10" s="66" customFormat="1" ht="12.75" customHeight="1" x14ac:dyDescent="0.25">
      <c r="B32" s="71">
        <f t="shared" si="4"/>
        <v>19</v>
      </c>
      <c r="C32" s="131">
        <v>20760</v>
      </c>
      <c r="D32" s="132">
        <v>43840</v>
      </c>
      <c r="E32" s="131" t="s">
        <v>77</v>
      </c>
      <c r="F32" s="131">
        <v>4.16</v>
      </c>
      <c r="G32" s="118">
        <f t="shared" si="0"/>
        <v>-1809.8387499999992</v>
      </c>
      <c r="H32" s="72">
        <f t="shared" si="1"/>
        <v>0</v>
      </c>
      <c r="I32" s="73">
        <f t="shared" si="2"/>
        <v>2058.9375</v>
      </c>
      <c r="J32" s="74">
        <f t="shared" si="3"/>
        <v>-1809.8387499999992</v>
      </c>
    </row>
    <row r="33" spans="2:10" s="66" customFormat="1" ht="12.75" customHeight="1" x14ac:dyDescent="0.25">
      <c r="B33" s="71">
        <f t="shared" si="4"/>
        <v>20</v>
      </c>
      <c r="C33" s="131">
        <v>20760</v>
      </c>
      <c r="D33" s="132">
        <v>43840</v>
      </c>
      <c r="E33" s="131" t="s">
        <v>78</v>
      </c>
      <c r="F33" s="131">
        <v>0.22</v>
      </c>
      <c r="G33" s="118">
        <f t="shared" si="0"/>
        <v>-1809.6187499999992</v>
      </c>
      <c r="H33" s="72">
        <f t="shared" si="1"/>
        <v>0</v>
      </c>
      <c r="I33" s="73">
        <f t="shared" si="2"/>
        <v>2058.9375</v>
      </c>
      <c r="J33" s="74">
        <f t="shared" si="3"/>
        <v>-1809.6187499999992</v>
      </c>
    </row>
    <row r="34" spans="2:10" s="66" customFormat="1" ht="12.75" customHeight="1" x14ac:dyDescent="0.25">
      <c r="B34" s="71">
        <f t="shared" si="4"/>
        <v>21</v>
      </c>
      <c r="C34" s="131">
        <v>20761</v>
      </c>
      <c r="D34" s="132">
        <v>43840</v>
      </c>
      <c r="E34" s="131" t="s">
        <v>77</v>
      </c>
      <c r="F34" s="133">
        <v>1942.06</v>
      </c>
      <c r="G34" s="118">
        <f t="shared" si="0"/>
        <v>132.44125000000076</v>
      </c>
      <c r="H34" s="72">
        <f t="shared" si="1"/>
        <v>1</v>
      </c>
      <c r="I34" s="73">
        <f t="shared" si="2"/>
        <v>2058.9375</v>
      </c>
      <c r="J34" s="74">
        <f t="shared" si="3"/>
        <v>-1926.4962499999992</v>
      </c>
    </row>
    <row r="35" spans="2:10" s="66" customFormat="1" ht="12.75" customHeight="1" x14ac:dyDescent="0.25">
      <c r="B35" s="71">
        <f t="shared" si="4"/>
        <v>22</v>
      </c>
      <c r="C35" s="131">
        <v>20761</v>
      </c>
      <c r="D35" s="132">
        <v>43840</v>
      </c>
      <c r="E35" s="131" t="s">
        <v>78</v>
      </c>
      <c r="F35" s="131">
        <v>0.22</v>
      </c>
      <c r="G35" s="118">
        <f t="shared" si="0"/>
        <v>-1926.2762499999992</v>
      </c>
      <c r="H35" s="72">
        <f t="shared" si="1"/>
        <v>0</v>
      </c>
      <c r="I35" s="73">
        <f t="shared" si="2"/>
        <v>2058.9375</v>
      </c>
      <c r="J35" s="74">
        <f t="shared" si="3"/>
        <v>-1926.2762499999992</v>
      </c>
    </row>
    <row r="36" spans="2:10" s="66" customFormat="1" ht="12.75" customHeight="1" x14ac:dyDescent="0.25">
      <c r="B36" s="71">
        <f t="shared" si="4"/>
        <v>23</v>
      </c>
      <c r="C36" s="131">
        <v>20762</v>
      </c>
      <c r="D36" s="132">
        <v>43840</v>
      </c>
      <c r="E36" s="131" t="s">
        <v>77</v>
      </c>
      <c r="F36" s="131">
        <v>465.68</v>
      </c>
      <c r="G36" s="118">
        <f t="shared" si="0"/>
        <v>-1460.5962499999991</v>
      </c>
      <c r="H36" s="72">
        <f t="shared" si="1"/>
        <v>0</v>
      </c>
      <c r="I36" s="73">
        <f t="shared" si="2"/>
        <v>2058.9375</v>
      </c>
      <c r="J36" s="74">
        <f t="shared" si="3"/>
        <v>-1460.5962499999991</v>
      </c>
    </row>
    <row r="37" spans="2:10" s="66" customFormat="1" ht="12.75" customHeight="1" x14ac:dyDescent="0.25">
      <c r="B37" s="71">
        <f t="shared" si="4"/>
        <v>24</v>
      </c>
      <c r="C37" s="131">
        <v>20762</v>
      </c>
      <c r="D37" s="132">
        <v>43840</v>
      </c>
      <c r="E37" s="131" t="s">
        <v>78</v>
      </c>
      <c r="F37" s="131">
        <v>0.22</v>
      </c>
      <c r="G37" s="118">
        <f t="shared" si="0"/>
        <v>-1460.3762499999991</v>
      </c>
      <c r="H37" s="72">
        <f t="shared" si="1"/>
        <v>0</v>
      </c>
      <c r="I37" s="73">
        <f t="shared" si="2"/>
        <v>2058.9375</v>
      </c>
      <c r="J37" s="74">
        <f t="shared" si="3"/>
        <v>-1460.3762499999991</v>
      </c>
    </row>
    <row r="38" spans="2:10" s="66" customFormat="1" ht="12.75" customHeight="1" x14ac:dyDescent="0.25">
      <c r="B38" s="71">
        <f t="shared" si="4"/>
        <v>25</v>
      </c>
      <c r="C38" s="131">
        <v>20763</v>
      </c>
      <c r="D38" s="132">
        <v>43840</v>
      </c>
      <c r="E38" s="131" t="s">
        <v>77</v>
      </c>
      <c r="F38" s="131">
        <v>58.31</v>
      </c>
      <c r="G38" s="118">
        <f t="shared" si="0"/>
        <v>-1402.0662499999992</v>
      </c>
      <c r="H38" s="72">
        <f t="shared" si="1"/>
        <v>0</v>
      </c>
      <c r="I38" s="73">
        <f t="shared" si="2"/>
        <v>2058.9375</v>
      </c>
      <c r="J38" s="74">
        <f t="shared" si="3"/>
        <v>-1402.0662499999992</v>
      </c>
    </row>
    <row r="39" spans="2:10" s="66" customFormat="1" ht="12.75" customHeight="1" x14ac:dyDescent="0.25">
      <c r="B39" s="71">
        <f t="shared" si="4"/>
        <v>26</v>
      </c>
      <c r="C39" s="131">
        <v>20763</v>
      </c>
      <c r="D39" s="132">
        <v>43840</v>
      </c>
      <c r="E39" s="131" t="s">
        <v>78</v>
      </c>
      <c r="F39" s="131">
        <v>0.22</v>
      </c>
      <c r="G39" s="118">
        <f t="shared" si="0"/>
        <v>-1401.8462499999991</v>
      </c>
      <c r="H39" s="72">
        <f t="shared" si="1"/>
        <v>0</v>
      </c>
      <c r="I39" s="73">
        <f t="shared" si="2"/>
        <v>2058.9375</v>
      </c>
      <c r="J39" s="74">
        <f t="shared" si="3"/>
        <v>-1401.8462499999991</v>
      </c>
    </row>
    <row r="40" spans="2:10" s="66" customFormat="1" ht="12.75" customHeight="1" x14ac:dyDescent="0.25">
      <c r="B40" s="71">
        <f t="shared" si="4"/>
        <v>27</v>
      </c>
      <c r="C40" s="131">
        <v>20764</v>
      </c>
      <c r="D40" s="132">
        <v>43840</v>
      </c>
      <c r="E40" s="131" t="s">
        <v>77</v>
      </c>
      <c r="F40" s="131">
        <v>13.63</v>
      </c>
      <c r="G40" s="118">
        <f t="shared" si="0"/>
        <v>-1388.216249999999</v>
      </c>
      <c r="H40" s="72">
        <f t="shared" si="1"/>
        <v>0</v>
      </c>
      <c r="I40" s="73">
        <f t="shared" si="2"/>
        <v>2058.9375</v>
      </c>
      <c r="J40" s="74">
        <f t="shared" si="3"/>
        <v>-1388.216249999999</v>
      </c>
    </row>
    <row r="41" spans="2:10" s="66" customFormat="1" ht="12.75" customHeight="1" x14ac:dyDescent="0.25">
      <c r="B41" s="71">
        <f t="shared" si="4"/>
        <v>28</v>
      </c>
      <c r="C41" s="131">
        <v>20764</v>
      </c>
      <c r="D41" s="132">
        <v>43840</v>
      </c>
      <c r="E41" s="131" t="s">
        <v>78</v>
      </c>
      <c r="F41" s="131">
        <v>0.22</v>
      </c>
      <c r="G41" s="118">
        <f t="shared" si="0"/>
        <v>-1387.996249999999</v>
      </c>
      <c r="H41" s="72">
        <f t="shared" si="1"/>
        <v>0</v>
      </c>
      <c r="I41" s="73">
        <f t="shared" si="2"/>
        <v>2058.9375</v>
      </c>
      <c r="J41" s="74">
        <f t="shared" si="3"/>
        <v>-1387.996249999999</v>
      </c>
    </row>
    <row r="42" spans="2:10" s="66" customFormat="1" ht="12.75" customHeight="1" x14ac:dyDescent="0.25">
      <c r="B42" s="71">
        <f t="shared" si="4"/>
        <v>29</v>
      </c>
      <c r="C42" s="131">
        <v>175700</v>
      </c>
      <c r="D42" s="132">
        <v>43843</v>
      </c>
      <c r="E42" s="131" t="s">
        <v>79</v>
      </c>
      <c r="F42" s="133">
        <v>1777.83</v>
      </c>
      <c r="G42" s="118">
        <f t="shared" si="0"/>
        <v>389.83375000000092</v>
      </c>
      <c r="H42" s="72">
        <f t="shared" si="1"/>
        <v>1</v>
      </c>
      <c r="I42" s="73">
        <f t="shared" si="2"/>
        <v>2058.9375</v>
      </c>
      <c r="J42" s="74">
        <f t="shared" si="3"/>
        <v>-1669.1037499999991</v>
      </c>
    </row>
    <row r="43" spans="2:10" s="66" customFormat="1" ht="12.75" customHeight="1" x14ac:dyDescent="0.25">
      <c r="B43" s="71">
        <f t="shared" si="4"/>
        <v>30</v>
      </c>
      <c r="C43" s="131">
        <v>175700</v>
      </c>
      <c r="D43" s="132">
        <v>43843</v>
      </c>
      <c r="E43" s="131" t="s">
        <v>80</v>
      </c>
      <c r="F43" s="131">
        <v>74.319999999999993</v>
      </c>
      <c r="G43" s="118">
        <f t="shared" si="0"/>
        <v>-1594.7837499999991</v>
      </c>
      <c r="H43" s="72">
        <f t="shared" si="1"/>
        <v>0</v>
      </c>
      <c r="I43" s="73">
        <f t="shared" si="2"/>
        <v>2058.9375</v>
      </c>
      <c r="J43" s="74">
        <f t="shared" si="3"/>
        <v>-1594.7837499999991</v>
      </c>
    </row>
    <row r="44" spans="2:10" s="66" customFormat="1" ht="12.75" customHeight="1" x14ac:dyDescent="0.25">
      <c r="B44" s="71">
        <f t="shared" si="4"/>
        <v>31</v>
      </c>
      <c r="C44" s="131">
        <v>175700</v>
      </c>
      <c r="D44" s="132">
        <v>43843</v>
      </c>
      <c r="E44" s="131" t="s">
        <v>81</v>
      </c>
      <c r="F44" s="131">
        <v>28.89</v>
      </c>
      <c r="G44" s="118">
        <f t="shared" si="0"/>
        <v>-1565.893749999999</v>
      </c>
      <c r="H44" s="72">
        <f t="shared" si="1"/>
        <v>0</v>
      </c>
      <c r="I44" s="73">
        <f t="shared" si="2"/>
        <v>2058.9375</v>
      </c>
      <c r="J44" s="74">
        <f t="shared" si="3"/>
        <v>-1565.893749999999</v>
      </c>
    </row>
    <row r="45" spans="2:10" s="66" customFormat="1" ht="12.75" customHeight="1" x14ac:dyDescent="0.25">
      <c r="B45" s="71">
        <f t="shared" si="4"/>
        <v>32</v>
      </c>
      <c r="C45" s="131">
        <v>175700</v>
      </c>
      <c r="D45" s="132">
        <v>43843</v>
      </c>
      <c r="E45" s="131" t="s">
        <v>82</v>
      </c>
      <c r="F45" s="131">
        <v>20</v>
      </c>
      <c r="G45" s="118">
        <f t="shared" si="0"/>
        <v>-1545.893749999999</v>
      </c>
      <c r="H45" s="72">
        <f t="shared" si="1"/>
        <v>0</v>
      </c>
      <c r="I45" s="73">
        <f t="shared" si="2"/>
        <v>2058.9375</v>
      </c>
      <c r="J45" s="74">
        <f t="shared" si="3"/>
        <v>-1545.893749999999</v>
      </c>
    </row>
    <row r="46" spans="2:10" s="66" customFormat="1" ht="12.75" customHeight="1" x14ac:dyDescent="0.25">
      <c r="B46" s="71">
        <f t="shared" si="4"/>
        <v>33</v>
      </c>
      <c r="C46" s="131">
        <v>4225</v>
      </c>
      <c r="D46" s="132">
        <v>43844</v>
      </c>
      <c r="E46" s="131" t="s">
        <v>83</v>
      </c>
      <c r="F46" s="131">
        <v>150</v>
      </c>
      <c r="G46" s="118">
        <f t="shared" si="0"/>
        <v>-1395.893749999999</v>
      </c>
      <c r="H46" s="72">
        <f t="shared" si="1"/>
        <v>0</v>
      </c>
      <c r="I46" s="73">
        <f t="shared" si="2"/>
        <v>2058.9375</v>
      </c>
      <c r="J46" s="74">
        <f t="shared" si="3"/>
        <v>-1395.893749999999</v>
      </c>
    </row>
    <row r="47" spans="2:10" s="66" customFormat="1" ht="12.75" customHeight="1" x14ac:dyDescent="0.25">
      <c r="B47" s="71">
        <f t="shared" si="4"/>
        <v>34</v>
      </c>
      <c r="C47" s="131">
        <v>4225</v>
      </c>
      <c r="D47" s="132">
        <v>43844</v>
      </c>
      <c r="E47" s="131" t="s">
        <v>84</v>
      </c>
      <c r="F47" s="131">
        <v>0.22</v>
      </c>
      <c r="G47" s="118">
        <f t="shared" si="0"/>
        <v>-1395.673749999999</v>
      </c>
      <c r="H47" s="72">
        <f t="shared" si="1"/>
        <v>0</v>
      </c>
      <c r="I47" s="73">
        <f t="shared" si="2"/>
        <v>2058.9375</v>
      </c>
      <c r="J47" s="74">
        <f t="shared" si="3"/>
        <v>-1395.673749999999</v>
      </c>
    </row>
    <row r="48" spans="2:10" s="66" customFormat="1" ht="12.75" customHeight="1" x14ac:dyDescent="0.25">
      <c r="B48" s="71">
        <f t="shared" si="4"/>
        <v>35</v>
      </c>
      <c r="C48" s="131">
        <v>4239</v>
      </c>
      <c r="D48" s="132">
        <v>43844</v>
      </c>
      <c r="E48" s="131" t="s">
        <v>83</v>
      </c>
      <c r="F48" s="131">
        <v>128.19999999999999</v>
      </c>
      <c r="G48" s="118">
        <f t="shared" si="0"/>
        <v>-1267.473749999999</v>
      </c>
      <c r="H48" s="72">
        <f t="shared" si="1"/>
        <v>0</v>
      </c>
      <c r="I48" s="73">
        <f t="shared" si="2"/>
        <v>2058.9375</v>
      </c>
      <c r="J48" s="74">
        <f t="shared" si="3"/>
        <v>-1267.473749999999</v>
      </c>
    </row>
    <row r="49" spans="2:10" s="66" customFormat="1" ht="12.75" customHeight="1" x14ac:dyDescent="0.25">
      <c r="B49" s="71">
        <f t="shared" si="4"/>
        <v>36</v>
      </c>
      <c r="C49" s="131">
        <v>4239</v>
      </c>
      <c r="D49" s="132">
        <v>43844</v>
      </c>
      <c r="E49" s="131" t="s">
        <v>84</v>
      </c>
      <c r="F49" s="131">
        <v>0.22</v>
      </c>
      <c r="G49" s="118">
        <f t="shared" si="0"/>
        <v>-1267.2537499999989</v>
      </c>
      <c r="H49" s="72">
        <f t="shared" si="1"/>
        <v>0</v>
      </c>
      <c r="I49" s="73">
        <f t="shared" si="2"/>
        <v>2058.9375</v>
      </c>
      <c r="J49" s="74">
        <f t="shared" si="3"/>
        <v>-1267.2537499999989</v>
      </c>
    </row>
    <row r="50" spans="2:10" s="66" customFormat="1" ht="12.75" customHeight="1" x14ac:dyDescent="0.25">
      <c r="B50" s="71">
        <f t="shared" si="4"/>
        <v>37</v>
      </c>
      <c r="C50" s="131">
        <v>4327830000</v>
      </c>
      <c r="D50" s="132">
        <v>43845</v>
      </c>
      <c r="E50" s="131" t="s">
        <v>74</v>
      </c>
      <c r="F50" s="133">
        <v>1030</v>
      </c>
      <c r="G50" s="118">
        <f t="shared" si="0"/>
        <v>-237.25374999999894</v>
      </c>
      <c r="H50" s="72">
        <f t="shared" si="1"/>
        <v>0</v>
      </c>
      <c r="I50" s="73">
        <f t="shared" si="2"/>
        <v>2058.9375</v>
      </c>
      <c r="J50" s="74">
        <f t="shared" si="3"/>
        <v>-237.25374999999894</v>
      </c>
    </row>
    <row r="51" spans="2:10" s="66" customFormat="1" ht="12.75" customHeight="1" x14ac:dyDescent="0.25">
      <c r="B51" s="71">
        <f t="shared" si="4"/>
        <v>38</v>
      </c>
      <c r="C51" s="131">
        <v>4327850000</v>
      </c>
      <c r="D51" s="132">
        <v>43845</v>
      </c>
      <c r="E51" s="131" t="s">
        <v>74</v>
      </c>
      <c r="F51" s="133">
        <v>4495.5</v>
      </c>
      <c r="G51" s="118">
        <f t="shared" si="0"/>
        <v>4258.2462500000011</v>
      </c>
      <c r="H51" s="72">
        <f t="shared" si="1"/>
        <v>3</v>
      </c>
      <c r="I51" s="73">
        <f t="shared" si="2"/>
        <v>2058.9375</v>
      </c>
      <c r="J51" s="74">
        <f t="shared" si="3"/>
        <v>-1918.5662499999989</v>
      </c>
    </row>
    <row r="52" spans="2:10" s="66" customFormat="1" ht="12.75" customHeight="1" x14ac:dyDescent="0.25">
      <c r="B52" s="71">
        <f t="shared" si="4"/>
        <v>39</v>
      </c>
      <c r="C52" s="131">
        <v>6829880000</v>
      </c>
      <c r="D52" s="132">
        <v>43846</v>
      </c>
      <c r="E52" s="131" t="s">
        <v>75</v>
      </c>
      <c r="F52" s="131">
        <v>5.7</v>
      </c>
      <c r="G52" s="118">
        <f t="shared" si="0"/>
        <v>-1912.8662499999989</v>
      </c>
      <c r="H52" s="72">
        <f t="shared" si="1"/>
        <v>0</v>
      </c>
      <c r="I52" s="73">
        <f t="shared" si="2"/>
        <v>2058.9375</v>
      </c>
      <c r="J52" s="74">
        <f t="shared" si="3"/>
        <v>-1912.8662499999989</v>
      </c>
    </row>
    <row r="53" spans="2:10" s="66" customFormat="1" ht="12.75" customHeight="1" x14ac:dyDescent="0.25">
      <c r="B53" s="71">
        <f t="shared" si="4"/>
        <v>40</v>
      </c>
      <c r="C53" s="131">
        <v>6829890000</v>
      </c>
      <c r="D53" s="132">
        <v>43846</v>
      </c>
      <c r="E53" s="131" t="s">
        <v>75</v>
      </c>
      <c r="F53" s="131">
        <v>5.7</v>
      </c>
      <c r="G53" s="118">
        <f t="shared" si="0"/>
        <v>-1907.1662499999989</v>
      </c>
      <c r="H53" s="72">
        <f t="shared" si="1"/>
        <v>0</v>
      </c>
      <c r="I53" s="73">
        <f t="shared" si="2"/>
        <v>2058.9375</v>
      </c>
      <c r="J53" s="74">
        <f t="shared" si="3"/>
        <v>-1907.1662499999989</v>
      </c>
    </row>
    <row r="54" spans="2:10" s="66" customFormat="1" ht="12.75" customHeight="1" x14ac:dyDescent="0.25">
      <c r="B54" s="71">
        <f t="shared" si="4"/>
        <v>41</v>
      </c>
      <c r="C54" s="131">
        <v>4459250000</v>
      </c>
      <c r="D54" s="132">
        <v>43861</v>
      </c>
      <c r="E54" s="131" t="s">
        <v>74</v>
      </c>
      <c r="F54" s="133">
        <v>6473.78</v>
      </c>
      <c r="G54" s="118">
        <f t="shared" si="0"/>
        <v>4566.6137500000004</v>
      </c>
      <c r="H54" s="72">
        <f t="shared" si="1"/>
        <v>3</v>
      </c>
      <c r="I54" s="73">
        <f t="shared" si="2"/>
        <v>2058.9375</v>
      </c>
      <c r="J54" s="74">
        <f t="shared" si="3"/>
        <v>-1610.1987499999996</v>
      </c>
    </row>
    <row r="55" spans="2:10" s="66" customFormat="1" ht="12.75" customHeight="1" x14ac:dyDescent="0.25">
      <c r="B55" s="71">
        <f t="shared" si="4"/>
        <v>42</v>
      </c>
      <c r="C55" s="131">
        <v>7760</v>
      </c>
      <c r="D55" s="132">
        <v>43845</v>
      </c>
      <c r="E55" s="131" t="s">
        <v>85</v>
      </c>
      <c r="F55" s="131">
        <v>202.02</v>
      </c>
      <c r="G55" s="118">
        <f t="shared" ref="G55:G67" si="5">F55+J54</f>
        <v>-1408.1787499999996</v>
      </c>
      <c r="H55" s="72">
        <f t="shared" ref="H55:H67" si="6">IF(G55&gt;0,ROUND(G55/I55+0.5,0),0)</f>
        <v>0</v>
      </c>
      <c r="I55" s="73">
        <f t="shared" si="2"/>
        <v>2058.9375</v>
      </c>
      <c r="J55" s="74">
        <f t="shared" ref="J55:J67" si="7">G55-(H55*I55)</f>
        <v>-1408.1787499999996</v>
      </c>
    </row>
    <row r="56" spans="2:10" s="66" customFormat="1" ht="12.75" customHeight="1" x14ac:dyDescent="0.25">
      <c r="B56" s="71">
        <f t="shared" si="4"/>
        <v>43</v>
      </c>
      <c r="C56" s="131">
        <v>7980</v>
      </c>
      <c r="D56" s="132">
        <v>43845</v>
      </c>
      <c r="E56" s="131" t="s">
        <v>85</v>
      </c>
      <c r="F56" s="131">
        <v>425.79</v>
      </c>
      <c r="G56" s="118">
        <f t="shared" si="5"/>
        <v>-982.38874999999962</v>
      </c>
      <c r="H56" s="72">
        <f t="shared" si="6"/>
        <v>0</v>
      </c>
      <c r="I56" s="73">
        <f t="shared" si="2"/>
        <v>2058.9375</v>
      </c>
      <c r="J56" s="74">
        <f t="shared" si="7"/>
        <v>-982.38874999999962</v>
      </c>
    </row>
    <row r="57" spans="2:10" s="66" customFormat="1" ht="12.75" customHeight="1" x14ac:dyDescent="0.25">
      <c r="B57" s="71">
        <f t="shared" si="4"/>
        <v>44</v>
      </c>
      <c r="C57" s="131">
        <v>8200</v>
      </c>
      <c r="D57" s="132">
        <v>43837</v>
      </c>
      <c r="E57" s="131" t="s">
        <v>85</v>
      </c>
      <c r="F57" s="133">
        <v>1500.52</v>
      </c>
      <c r="G57" s="118">
        <f t="shared" si="5"/>
        <v>518.13125000000036</v>
      </c>
      <c r="H57" s="72">
        <f t="shared" si="6"/>
        <v>1</v>
      </c>
      <c r="I57" s="73">
        <f t="shared" si="2"/>
        <v>2058.9375</v>
      </c>
      <c r="J57" s="74">
        <f t="shared" si="7"/>
        <v>-1540.8062499999996</v>
      </c>
    </row>
    <row r="58" spans="2:10" s="66" customFormat="1" ht="12.75" customHeight="1" x14ac:dyDescent="0.25">
      <c r="B58" s="71">
        <f t="shared" si="4"/>
        <v>45</v>
      </c>
      <c r="C58" s="131">
        <v>8230</v>
      </c>
      <c r="D58" s="132">
        <v>43846</v>
      </c>
      <c r="E58" s="131" t="s">
        <v>86</v>
      </c>
      <c r="F58" s="133">
        <v>2505.9699999999998</v>
      </c>
      <c r="G58" s="118">
        <f t="shared" si="5"/>
        <v>965.16375000000016</v>
      </c>
      <c r="H58" s="72">
        <f t="shared" si="6"/>
        <v>1</v>
      </c>
      <c r="I58" s="73">
        <f t="shared" si="2"/>
        <v>2058.9375</v>
      </c>
      <c r="J58" s="74">
        <f t="shared" si="7"/>
        <v>-1093.7737499999998</v>
      </c>
    </row>
    <row r="59" spans="2:10" s="66" customFormat="1" ht="12.75" customHeight="1" x14ac:dyDescent="0.25">
      <c r="B59" s="71">
        <f t="shared" si="4"/>
        <v>46</v>
      </c>
      <c r="C59" s="131">
        <v>8250</v>
      </c>
      <c r="D59" s="132">
        <v>43853</v>
      </c>
      <c r="E59" s="131" t="s">
        <v>85</v>
      </c>
      <c r="F59" s="133">
        <v>1053</v>
      </c>
      <c r="G59" s="118">
        <f t="shared" si="5"/>
        <v>-40.773749999999836</v>
      </c>
      <c r="H59" s="72">
        <f t="shared" si="6"/>
        <v>0</v>
      </c>
      <c r="I59" s="73">
        <f t="shared" si="2"/>
        <v>2058.9375</v>
      </c>
      <c r="J59" s="74">
        <f t="shared" si="7"/>
        <v>-40.773749999999836</v>
      </c>
    </row>
    <row r="60" spans="2:10" s="66" customFormat="1" ht="12.75" customHeight="1" x14ac:dyDescent="0.25">
      <c r="B60" s="71">
        <f t="shared" si="4"/>
        <v>47</v>
      </c>
      <c r="C60" s="131">
        <v>8260</v>
      </c>
      <c r="D60" s="132">
        <v>43857</v>
      </c>
      <c r="E60" s="131" t="s">
        <v>85</v>
      </c>
      <c r="F60" s="131">
        <v>213.9</v>
      </c>
      <c r="G60" s="118">
        <f t="shared" si="5"/>
        <v>173.12625000000017</v>
      </c>
      <c r="H60" s="72">
        <f t="shared" si="6"/>
        <v>1</v>
      </c>
      <c r="I60" s="73">
        <f t="shared" si="2"/>
        <v>2058.9375</v>
      </c>
      <c r="J60" s="74">
        <f t="shared" si="7"/>
        <v>-1885.8112499999997</v>
      </c>
    </row>
    <row r="61" spans="2:10" s="66" customFormat="1" ht="12.75" customHeight="1" x14ac:dyDescent="0.25">
      <c r="B61" s="71">
        <f t="shared" si="4"/>
        <v>48</v>
      </c>
      <c r="C61" s="131">
        <v>8280</v>
      </c>
      <c r="D61" s="132">
        <v>43858</v>
      </c>
      <c r="E61" s="131" t="s">
        <v>85</v>
      </c>
      <c r="F61" s="131">
        <v>179.82</v>
      </c>
      <c r="G61" s="118">
        <f t="shared" si="5"/>
        <v>-1705.9912499999998</v>
      </c>
      <c r="H61" s="72">
        <f t="shared" si="6"/>
        <v>0</v>
      </c>
      <c r="I61" s="73">
        <f t="shared" si="2"/>
        <v>2058.9375</v>
      </c>
      <c r="J61" s="74">
        <f t="shared" si="7"/>
        <v>-1705.9912499999998</v>
      </c>
    </row>
    <row r="62" spans="2:10" s="66" customFormat="1" ht="12.75" customHeight="1" x14ac:dyDescent="0.25">
      <c r="B62" s="71">
        <f t="shared" si="4"/>
        <v>49</v>
      </c>
      <c r="C62" s="131">
        <v>8310</v>
      </c>
      <c r="D62" s="132">
        <v>43859</v>
      </c>
      <c r="E62" s="131" t="s">
        <v>87</v>
      </c>
      <c r="F62" s="131">
        <v>54.19</v>
      </c>
      <c r="G62" s="118">
        <f t="shared" si="5"/>
        <v>-1651.8012499999998</v>
      </c>
      <c r="H62" s="72">
        <f t="shared" si="6"/>
        <v>0</v>
      </c>
      <c r="I62" s="73">
        <f t="shared" si="2"/>
        <v>2058.9375</v>
      </c>
      <c r="J62" s="74">
        <f t="shared" si="7"/>
        <v>-1651.8012499999998</v>
      </c>
    </row>
    <row r="63" spans="2:10" s="66" customFormat="1" ht="12.75" customHeight="1" x14ac:dyDescent="0.25">
      <c r="B63" s="71">
        <f t="shared" si="4"/>
        <v>50</v>
      </c>
      <c r="C63" s="131">
        <v>8320</v>
      </c>
      <c r="D63" s="132">
        <v>43857</v>
      </c>
      <c r="E63" s="131" t="s">
        <v>86</v>
      </c>
      <c r="F63" s="131">
        <v>494.95</v>
      </c>
      <c r="G63" s="118">
        <f t="shared" si="5"/>
        <v>-1156.8512499999997</v>
      </c>
      <c r="H63" s="72">
        <f t="shared" si="6"/>
        <v>0</v>
      </c>
      <c r="I63" s="73">
        <f t="shared" si="2"/>
        <v>2058.9375</v>
      </c>
      <c r="J63" s="74">
        <f t="shared" si="7"/>
        <v>-1156.8512499999997</v>
      </c>
    </row>
    <row r="64" spans="2:10" s="66" customFormat="1" ht="12.75" customHeight="1" x14ac:dyDescent="0.25">
      <c r="B64" s="71">
        <f t="shared" si="4"/>
        <v>51</v>
      </c>
      <c r="C64" s="131">
        <v>8330</v>
      </c>
      <c r="D64" s="132">
        <v>43857</v>
      </c>
      <c r="E64" s="131" t="s">
        <v>86</v>
      </c>
      <c r="F64" s="131">
        <v>122.26</v>
      </c>
      <c r="G64" s="118">
        <f t="shared" si="5"/>
        <v>-1034.5912499999997</v>
      </c>
      <c r="H64" s="72">
        <f t="shared" si="6"/>
        <v>0</v>
      </c>
      <c r="I64" s="73">
        <f t="shared" si="2"/>
        <v>2058.9375</v>
      </c>
      <c r="J64" s="74">
        <f t="shared" si="7"/>
        <v>-1034.5912499999997</v>
      </c>
    </row>
    <row r="65" spans="2:226" s="66" customFormat="1" ht="12.75" customHeight="1" x14ac:dyDescent="0.25">
      <c r="B65" s="71">
        <f t="shared" si="4"/>
        <v>52</v>
      </c>
      <c r="C65" s="131">
        <v>8340</v>
      </c>
      <c r="D65" s="132">
        <v>43854</v>
      </c>
      <c r="E65" s="131" t="s">
        <v>85</v>
      </c>
      <c r="F65" s="133">
        <v>1125</v>
      </c>
      <c r="G65" s="118">
        <f t="shared" si="5"/>
        <v>90.408750000000282</v>
      </c>
      <c r="H65" s="72">
        <f t="shared" si="6"/>
        <v>1</v>
      </c>
      <c r="I65" s="73">
        <f t="shared" si="2"/>
        <v>2058.9375</v>
      </c>
      <c r="J65" s="74">
        <f t="shared" si="7"/>
        <v>-1968.5287499999997</v>
      </c>
    </row>
    <row r="66" spans="2:226" s="66" customFormat="1" ht="12.75" customHeight="1" x14ac:dyDescent="0.25">
      <c r="B66" s="71">
        <f t="shared" si="4"/>
        <v>53</v>
      </c>
      <c r="C66" s="131">
        <v>8350</v>
      </c>
      <c r="D66" s="132">
        <v>43861</v>
      </c>
      <c r="E66" s="131" t="s">
        <v>85</v>
      </c>
      <c r="F66" s="131">
        <v>906.8</v>
      </c>
      <c r="G66" s="118">
        <f t="shared" si="5"/>
        <v>-1061.7287499999998</v>
      </c>
      <c r="H66" s="72">
        <f t="shared" si="6"/>
        <v>0</v>
      </c>
      <c r="I66" s="73">
        <f t="shared" si="2"/>
        <v>2058.9375</v>
      </c>
      <c r="J66" s="74">
        <f t="shared" si="7"/>
        <v>-1061.7287499999998</v>
      </c>
    </row>
    <row r="67" spans="2:226" s="66" customFormat="1" ht="12.75" customHeight="1" x14ac:dyDescent="0.25">
      <c r="B67" s="71">
        <f t="shared" si="4"/>
        <v>54</v>
      </c>
      <c r="C67" s="131">
        <v>8420</v>
      </c>
      <c r="D67" s="132">
        <v>43860</v>
      </c>
      <c r="E67" s="131" t="s">
        <v>85</v>
      </c>
      <c r="F67" s="131">
        <v>32.200000000000003</v>
      </c>
      <c r="G67" s="118">
        <f t="shared" si="5"/>
        <v>-1029.5287499999997</v>
      </c>
      <c r="H67" s="72">
        <f t="shared" si="6"/>
        <v>0</v>
      </c>
      <c r="I67" s="73">
        <f t="shared" si="2"/>
        <v>2058.9375</v>
      </c>
      <c r="J67" s="74">
        <f t="shared" si="7"/>
        <v>-1029.5287499999997</v>
      </c>
    </row>
    <row r="68" spans="2:226" s="66" customFormat="1" ht="12.75" customHeight="1" x14ac:dyDescent="0.25">
      <c r="B68" s="71"/>
      <c r="C68" s="131"/>
      <c r="D68" s="132"/>
      <c r="E68" s="131"/>
      <c r="F68" s="131"/>
      <c r="G68" s="118"/>
      <c r="H68" s="72"/>
      <c r="I68" s="73"/>
      <c r="J68" s="74"/>
    </row>
    <row r="69" spans="2:226" x14ac:dyDescent="0.2">
      <c r="B69" s="124" t="s">
        <v>59</v>
      </c>
      <c r="C69" s="114"/>
      <c r="D69" s="114"/>
      <c r="E69" s="115"/>
      <c r="F69" s="116"/>
      <c r="G69" s="75"/>
      <c r="H69" s="76" t="s">
        <v>60</v>
      </c>
      <c r="I69" s="75"/>
      <c r="J69" s="77"/>
    </row>
    <row r="70" spans="2:226" x14ac:dyDescent="0.2">
      <c r="B70" s="78" t="s">
        <v>61</v>
      </c>
      <c r="C70" s="79"/>
      <c r="D70" s="79"/>
      <c r="E70" s="80" t="s">
        <v>62</v>
      </c>
      <c r="F70" s="81">
        <f>ROUND(SUM(F14:F69),0)</f>
        <v>32943</v>
      </c>
      <c r="G70" s="82" t="s">
        <v>63</v>
      </c>
      <c r="H70" s="83">
        <f>SUM(H14:H69)</f>
        <v>16</v>
      </c>
      <c r="I70" s="84"/>
      <c r="J70" s="81">
        <f>+J31</f>
        <v>-1813.9987499999993</v>
      </c>
    </row>
    <row r="71" spans="2:226" x14ac:dyDescent="0.2">
      <c r="B71" s="1"/>
      <c r="C71" s="1"/>
      <c r="D71" s="1"/>
      <c r="E71" s="85"/>
      <c r="F71" s="55"/>
      <c r="G71" s="86"/>
      <c r="H71" s="1"/>
      <c r="I71" s="1"/>
      <c r="J71" s="1"/>
    </row>
    <row r="72" spans="2:226" x14ac:dyDescent="0.2">
      <c r="B72" s="1"/>
      <c r="C72" s="1"/>
      <c r="D72" s="1"/>
      <c r="E72" s="1"/>
      <c r="F72" s="87"/>
      <c r="G72" s="1"/>
      <c r="H72" s="1"/>
      <c r="I72" s="1"/>
      <c r="J72" s="1"/>
    </row>
    <row r="73" spans="2:226" s="1" customFormat="1" x14ac:dyDescent="0.2">
      <c r="B73" s="88" t="s">
        <v>64</v>
      </c>
      <c r="C73" s="89"/>
      <c r="D73" s="90"/>
      <c r="H73" s="142" t="s">
        <v>65</v>
      </c>
      <c r="I73" s="142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</row>
    <row r="74" spans="2:226" s="1" customFormat="1" x14ac:dyDescent="0.2">
      <c r="B74" s="91"/>
      <c r="C74" s="92"/>
      <c r="D74" s="90"/>
      <c r="G74" s="9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</row>
    <row r="75" spans="2:226" s="1" customFormat="1" x14ac:dyDescent="0.2">
      <c r="B75" s="94" t="s">
        <v>52</v>
      </c>
      <c r="C75" s="95">
        <f>$C$11</f>
        <v>1029.46875</v>
      </c>
      <c r="D75" s="96"/>
      <c r="G75" s="97"/>
      <c r="H75" s="98" t="s">
        <v>48</v>
      </c>
      <c r="I75" s="99">
        <v>32943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</row>
    <row r="76" spans="2:226" s="1" customFormat="1" ht="25.5" x14ac:dyDescent="0.2">
      <c r="B76" s="100" t="s">
        <v>66</v>
      </c>
      <c r="C76" s="95">
        <f>H70*$C$10</f>
        <v>32943</v>
      </c>
      <c r="D76" s="96"/>
      <c r="G76" s="101"/>
      <c r="H76" s="102" t="s">
        <v>67</v>
      </c>
      <c r="I76" s="103">
        <v>13500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</row>
    <row r="77" spans="2:226" s="1" customFormat="1" x14ac:dyDescent="0.2">
      <c r="B77" s="94" t="s">
        <v>68</v>
      </c>
      <c r="C77" s="104">
        <v>0</v>
      </c>
      <c r="D77" s="96"/>
      <c r="G77" s="105"/>
      <c r="H77" s="98" t="s">
        <v>57</v>
      </c>
      <c r="I77" s="99">
        <f>ROUNDUP((I75/I76),2)</f>
        <v>2.4499999999999997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</row>
    <row r="78" spans="2:226" s="1" customFormat="1" x14ac:dyDescent="0.2">
      <c r="B78" s="91"/>
      <c r="C78" s="95">
        <f>SUM(C75:C77)</f>
        <v>33972.46875</v>
      </c>
      <c r="D78" s="96"/>
      <c r="H78" s="106" t="s">
        <v>69</v>
      </c>
      <c r="I78" s="107">
        <f>H70</f>
        <v>16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</row>
    <row r="79" spans="2:226" s="1" customFormat="1" x14ac:dyDescent="0.2">
      <c r="B79" s="94" t="s">
        <v>70</v>
      </c>
      <c r="C79" s="104">
        <f>F70</f>
        <v>32943</v>
      </c>
      <c r="D79" s="96"/>
      <c r="E79" s="2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</row>
    <row r="80" spans="2:226" s="1" customFormat="1" x14ac:dyDescent="0.2">
      <c r="B80" s="108" t="s">
        <v>71</v>
      </c>
      <c r="C80" s="109">
        <f>C78-C79</f>
        <v>1029.46875</v>
      </c>
      <c r="D80" s="96"/>
      <c r="E80" s="11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</row>
  </sheetData>
  <mergeCells count="2">
    <mergeCell ref="B6:J6"/>
    <mergeCell ref="H73:I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Sample Size &amp; Threshold Calc</vt:lpstr>
      <vt:lpstr>Sample Size - Gastos</vt:lpstr>
      <vt:lpstr>Muestreo Gastos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*** Libro de Trabajo de Muestreo por Unidad Monetaria</dc:title>
  <dc:subject/>
  <dc:creator>Deloitte Touche Tohmatsu Limited</dc:creator>
  <dc:description/>
  <cp:lastModifiedBy>Leonidas</cp:lastModifiedBy>
  <cp:revision>13</cp:revision>
  <cp:lastPrinted>2009-11-03T22:06:13Z</cp:lastPrinted>
  <dcterms:created xsi:type="dcterms:W3CDTF">2001-12-17T19:09:57Z</dcterms:created>
  <dcterms:modified xsi:type="dcterms:W3CDTF">2020-05-23T03:51:20Z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