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idas\Desktop\escritorio\trabajo\Pendiente\correo 8\Telsoterra\Fase II Ejecucion\8000 Pruebas de Estado de Resultado\"/>
    </mc:Choice>
  </mc:AlternateContent>
  <bookViews>
    <workbookView xWindow="0" yWindow="0" windowWidth="16380" windowHeight="8190" tabRatio="500"/>
  </bookViews>
  <sheets>
    <sheet name="General" sheetId="1" r:id="rId1"/>
    <sheet name="Sample Size &amp; Threshold Calc" sheetId="2" state="hidden" r:id="rId2"/>
    <sheet name="Sample Size - Gastos" sheetId="3" r:id="rId3"/>
    <sheet name="Muestreo Gastos" sheetId="4" r:id="rId4"/>
  </sheets>
  <externalReferences>
    <externalReference r:id="rId5"/>
    <externalReference r:id="rId6"/>
  </externalReferences>
  <definedNames>
    <definedName name="__RSE1">#REF!</definedName>
    <definedName name="__RSE2">'[1]p.2 mma calculations'!$I$34</definedName>
    <definedName name="_RSE1">#REF!</definedName>
    <definedName name="_RSE2">#REF!</definedName>
    <definedName name="_RSE3">#REF!</definedName>
    <definedName name="aq">#REF!</definedName>
    <definedName name="AS2DocOpenMode">"AS2DocumentEdit"</definedName>
    <definedName name="AS2NamedRange">12</definedName>
    <definedName name="AS2ReportLS">1</definedName>
    <definedName name="AS2SyncStepLS">0</definedName>
    <definedName name="AS2TickmarkLS">#REF!</definedName>
    <definedName name="AS2VersionLS">300</definedName>
    <definedName name="BG_Del">15</definedName>
    <definedName name="BG_Ins">4</definedName>
    <definedName name="BG_Mod">6</definedName>
    <definedName name="Depósitos_Tránsito">#REF!</definedName>
    <definedName name="Number_of_Selections">#REF!</definedName>
    <definedName name="Numof_Selections2">#REF!</definedName>
    <definedName name="Ref_1">#REF!</definedName>
    <definedName name="Ref_10">#REF!</definedName>
    <definedName name="Ref_11">#REF!</definedName>
    <definedName name="Ref_2">#REF!</definedName>
    <definedName name="Ref_3">#REF!</definedName>
    <definedName name="Ref_4">#REF!</definedName>
    <definedName name="Ref_5">#REF!</definedName>
    <definedName name="Ref_6">#REF!</definedName>
    <definedName name="Ref_7">#REF!</definedName>
    <definedName name="Ref_8">#REF!</definedName>
    <definedName name="Ref_9">#REF!</definedName>
    <definedName name="TextRefCopy10">#REF!</definedName>
    <definedName name="TextRefCopy11">#REF!</definedName>
    <definedName name="TextRefCopy12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>6</definedName>
    <definedName name="Total_Amount">#REF!</definedName>
    <definedName name="Total_Population2">#REF!</definedName>
    <definedName name="wrn.Aging._.and._.Trend._.Analysis.">{#N/A,#N/A,FALSE,"Aging Summary";#N/A,#N/A,FALSE,"Ratio Analysis";#N/A,#N/A,FALSE,"Test 120 Day Accts";#N/A,#N/A,FALSE,"Tickmarks"}</definedName>
    <definedName name="XREF_COLUMN_1">'[1]p.2 mma calculations'!#REF!</definedName>
    <definedName name="XREF_COLUMN_12">[2]muestreo!#REF!</definedName>
    <definedName name="XREF_COLUMN_4">#REF!</definedName>
    <definedName name="XREF_COLUMN_5">#REF!</definedName>
    <definedName name="XRefActiveRow">#REF!</definedName>
    <definedName name="XRefColumnsCount">3</definedName>
    <definedName name="XRefCopy27">#REF!</definedName>
    <definedName name="XRefCopy27Row">#REF!</definedName>
    <definedName name="XRefCopy28">#REF!</definedName>
    <definedName name="XRefCopy28Row">#REF!</definedName>
    <definedName name="XRefCopy6">#REF!</definedName>
    <definedName name="XRefCopy6Row">#REF!</definedName>
    <definedName name="XRefCopy7">#REF!</definedName>
    <definedName name="XRefCopyRangeCount">5</definedName>
    <definedName name="XRefPaste1">#REF!</definedName>
    <definedName name="XRefPaste10">#REF!</definedName>
    <definedName name="XRefPaste11">#REF!</definedName>
    <definedName name="XRefPaste12">#REF!</definedName>
    <definedName name="XRefPaste13">#REF!</definedName>
    <definedName name="XRefPaste1Row">[1]xref!#REF!</definedName>
    <definedName name="XRefPaste47">#REF!</definedName>
    <definedName name="XRefPaste47Row">#REF!</definedName>
    <definedName name="XRefPaste5Row">[1]xref!#REF!</definedName>
    <definedName name="XRefPaste6Row">[1]xref!#REF!</definedName>
    <definedName name="XRefPaste7">#REF!</definedName>
    <definedName name="XRefPaste8">#REF!</definedName>
    <definedName name="XRefPaste9">#REF!</definedName>
    <definedName name="XRefPasteRangeCount">4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03" i="4" l="1"/>
  <c r="I201" i="4" l="1"/>
  <c r="F194" i="4"/>
  <c r="B16" i="4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5" i="4"/>
  <c r="C10" i="4"/>
  <c r="A1" i="4"/>
  <c r="F29" i="3"/>
  <c r="E29" i="3"/>
  <c r="D29" i="3"/>
  <c r="C29" i="3"/>
  <c r="D12" i="3"/>
  <c r="E21" i="3" s="1"/>
  <c r="F29" i="2"/>
  <c r="E29" i="2"/>
  <c r="D29" i="2"/>
  <c r="C29" i="2"/>
  <c r="F27" i="2"/>
  <c r="D26" i="2"/>
  <c r="F25" i="2"/>
  <c r="F24" i="2"/>
  <c r="D24" i="2"/>
  <c r="D23" i="2"/>
  <c r="F21" i="2"/>
  <c r="D21" i="2"/>
  <c r="D20" i="2"/>
  <c r="F19" i="2"/>
  <c r="D16" i="2"/>
  <c r="D12" i="2"/>
  <c r="D16" i="3" l="1"/>
  <c r="I51" i="4"/>
  <c r="I129" i="4"/>
  <c r="I73" i="4"/>
  <c r="I157" i="4"/>
  <c r="I75" i="4"/>
  <c r="I183" i="4"/>
  <c r="I159" i="4"/>
  <c r="I19" i="4"/>
  <c r="I103" i="4"/>
  <c r="I181" i="4"/>
  <c r="I21" i="4"/>
  <c r="I105" i="4"/>
  <c r="I49" i="4"/>
  <c r="I127" i="4"/>
  <c r="I31" i="4"/>
  <c r="I55" i="4"/>
  <c r="I85" i="4"/>
  <c r="I109" i="4"/>
  <c r="I139" i="4"/>
  <c r="I163" i="4"/>
  <c r="I14" i="4"/>
  <c r="I33" i="4"/>
  <c r="I57" i="4"/>
  <c r="I87" i="4"/>
  <c r="I111" i="4"/>
  <c r="I141" i="4"/>
  <c r="I165" i="4"/>
  <c r="I37" i="4"/>
  <c r="I67" i="4"/>
  <c r="I91" i="4"/>
  <c r="I121" i="4"/>
  <c r="I145" i="4"/>
  <c r="I175" i="4"/>
  <c r="I39" i="4"/>
  <c r="I69" i="4"/>
  <c r="I93" i="4"/>
  <c r="I123" i="4"/>
  <c r="I147" i="4"/>
  <c r="I177" i="4"/>
  <c r="C23" i="3"/>
  <c r="E24" i="3"/>
  <c r="E19" i="3"/>
  <c r="E25" i="3"/>
  <c r="C20" i="3"/>
  <c r="C26" i="3"/>
  <c r="C21" i="3"/>
  <c r="E27" i="3"/>
  <c r="C27" i="2"/>
  <c r="E25" i="2"/>
  <c r="C24" i="2"/>
  <c r="E22" i="2"/>
  <c r="C21" i="2"/>
  <c r="E19" i="2"/>
  <c r="F26" i="2"/>
  <c r="D25" i="2"/>
  <c r="F23" i="2"/>
  <c r="D22" i="2"/>
  <c r="F20" i="2"/>
  <c r="D19" i="2"/>
  <c r="E26" i="2"/>
  <c r="C25" i="2"/>
  <c r="E23" i="2"/>
  <c r="C22" i="2"/>
  <c r="E20" i="2"/>
  <c r="C19" i="2"/>
  <c r="E27" i="2"/>
  <c r="C26" i="2"/>
  <c r="E24" i="2"/>
  <c r="C23" i="2"/>
  <c r="E21" i="2"/>
  <c r="C20" i="2"/>
  <c r="D14" i="2"/>
  <c r="F22" i="2"/>
  <c r="D27" i="2"/>
  <c r="F26" i="3"/>
  <c r="E22" i="3"/>
  <c r="C27" i="3"/>
  <c r="C24" i="3"/>
  <c r="F19" i="3"/>
  <c r="D21" i="3"/>
  <c r="F22" i="3"/>
  <c r="D24" i="3"/>
  <c r="F25" i="3"/>
  <c r="D27" i="3"/>
  <c r="I15" i="4"/>
  <c r="I26" i="4"/>
  <c r="I35" i="4"/>
  <c r="I44" i="4"/>
  <c r="I53" i="4"/>
  <c r="I62" i="4"/>
  <c r="I71" i="4"/>
  <c r="I80" i="4"/>
  <c r="I89" i="4"/>
  <c r="I98" i="4"/>
  <c r="I107" i="4"/>
  <c r="I116" i="4"/>
  <c r="I125" i="4"/>
  <c r="I134" i="4"/>
  <c r="I143" i="4"/>
  <c r="I152" i="4"/>
  <c r="I161" i="4"/>
  <c r="I170" i="4"/>
  <c r="I179" i="4"/>
  <c r="I191" i="4"/>
  <c r="D20" i="3"/>
  <c r="F21" i="3"/>
  <c r="D23" i="3"/>
  <c r="F24" i="3"/>
  <c r="D26" i="3"/>
  <c r="F27" i="3"/>
  <c r="I189" i="4"/>
  <c r="I188" i="4"/>
  <c r="I185" i="4"/>
  <c r="I180" i="4"/>
  <c r="I174" i="4"/>
  <c r="I168" i="4"/>
  <c r="I162" i="4"/>
  <c r="I156" i="4"/>
  <c r="I150" i="4"/>
  <c r="I144" i="4"/>
  <c r="I138" i="4"/>
  <c r="I132" i="4"/>
  <c r="I126" i="4"/>
  <c r="I120" i="4"/>
  <c r="I114" i="4"/>
  <c r="I108" i="4"/>
  <c r="I102" i="4"/>
  <c r="I96" i="4"/>
  <c r="I90" i="4"/>
  <c r="I84" i="4"/>
  <c r="I78" i="4"/>
  <c r="I72" i="4"/>
  <c r="I66" i="4"/>
  <c r="I60" i="4"/>
  <c r="I54" i="4"/>
  <c r="I48" i="4"/>
  <c r="I42" i="4"/>
  <c r="I36" i="4"/>
  <c r="I30" i="4"/>
  <c r="I24" i="4"/>
  <c r="I18" i="4"/>
  <c r="I187" i="4"/>
  <c r="I184" i="4"/>
  <c r="I178" i="4"/>
  <c r="I172" i="4"/>
  <c r="I166" i="4"/>
  <c r="I160" i="4"/>
  <c r="I154" i="4"/>
  <c r="I148" i="4"/>
  <c r="I142" i="4"/>
  <c r="I136" i="4"/>
  <c r="I130" i="4"/>
  <c r="I124" i="4"/>
  <c r="I118" i="4"/>
  <c r="I112" i="4"/>
  <c r="I106" i="4"/>
  <c r="I100" i="4"/>
  <c r="I94" i="4"/>
  <c r="I88" i="4"/>
  <c r="I82" i="4"/>
  <c r="I76" i="4"/>
  <c r="I70" i="4"/>
  <c r="I64" i="4"/>
  <c r="I58" i="4"/>
  <c r="I52" i="4"/>
  <c r="I46" i="4"/>
  <c r="I40" i="4"/>
  <c r="I34" i="4"/>
  <c r="I28" i="4"/>
  <c r="I22" i="4"/>
  <c r="I17" i="4"/>
  <c r="I23" i="4"/>
  <c r="I32" i="4"/>
  <c r="I41" i="4"/>
  <c r="I50" i="4"/>
  <c r="I59" i="4"/>
  <c r="I68" i="4"/>
  <c r="I77" i="4"/>
  <c r="I86" i="4"/>
  <c r="I95" i="4"/>
  <c r="I104" i="4"/>
  <c r="I113" i="4"/>
  <c r="I122" i="4"/>
  <c r="I131" i="4"/>
  <c r="I140" i="4"/>
  <c r="I149" i="4"/>
  <c r="I158" i="4"/>
  <c r="I167" i="4"/>
  <c r="I176" i="4"/>
  <c r="C19" i="3"/>
  <c r="E20" i="3"/>
  <c r="C22" i="3"/>
  <c r="E23" i="3"/>
  <c r="C25" i="3"/>
  <c r="E26" i="3"/>
  <c r="E10" i="4"/>
  <c r="C11" i="4" s="1"/>
  <c r="I20" i="4"/>
  <c r="I25" i="4"/>
  <c r="I27" i="4"/>
  <c r="I43" i="4"/>
  <c r="I45" i="4"/>
  <c r="I61" i="4"/>
  <c r="I63" i="4"/>
  <c r="I79" i="4"/>
  <c r="I81" i="4"/>
  <c r="I97" i="4"/>
  <c r="I99" i="4"/>
  <c r="I115" i="4"/>
  <c r="I117" i="4"/>
  <c r="I133" i="4"/>
  <c r="I135" i="4"/>
  <c r="I151" i="4"/>
  <c r="I153" i="4"/>
  <c r="I169" i="4"/>
  <c r="I171" i="4"/>
  <c r="I190" i="4"/>
  <c r="I192" i="4"/>
  <c r="D19" i="3"/>
  <c r="F20" i="3"/>
  <c r="D22" i="3"/>
  <c r="F23" i="3"/>
  <c r="D25" i="3"/>
  <c r="I16" i="4"/>
  <c r="I29" i="4"/>
  <c r="I38" i="4"/>
  <c r="I47" i="4"/>
  <c r="I56" i="4"/>
  <c r="I65" i="4"/>
  <c r="I74" i="4"/>
  <c r="I83" i="4"/>
  <c r="I92" i="4"/>
  <c r="I101" i="4"/>
  <c r="I110" i="4"/>
  <c r="I119" i="4"/>
  <c r="I128" i="4"/>
  <c r="I137" i="4"/>
  <c r="I146" i="4"/>
  <c r="I155" i="4"/>
  <c r="I164" i="4"/>
  <c r="I173" i="4"/>
  <c r="I182" i="4"/>
  <c r="I186" i="4"/>
  <c r="C199" i="4" l="1"/>
  <c r="J13" i="4"/>
  <c r="G14" i="4" s="1"/>
  <c r="H14" i="4" l="1"/>
  <c r="J14" i="4" l="1"/>
  <c r="G15" i="4" s="1"/>
  <c r="H15" i="4" l="1"/>
  <c r="J15" i="4" l="1"/>
  <c r="G16" i="4" s="1"/>
  <c r="H16" i="4" l="1"/>
  <c r="J16" i="4" s="1"/>
  <c r="G17" i="4" s="1"/>
  <c r="H17" i="4" l="1"/>
  <c r="J17" i="4" s="1"/>
  <c r="G18" i="4" s="1"/>
  <c r="H18" i="4" l="1"/>
  <c r="J18" i="4" s="1"/>
  <c r="G19" i="4" s="1"/>
  <c r="H19" i="4" l="1"/>
  <c r="J19" i="4" s="1"/>
  <c r="G20" i="4" s="1"/>
  <c r="H20" i="4" l="1"/>
  <c r="J20" i="4" s="1"/>
  <c r="G21" i="4" s="1"/>
  <c r="H21" i="4" l="1"/>
  <c r="J21" i="4" s="1"/>
  <c r="G22" i="4" s="1"/>
  <c r="H22" i="4" l="1"/>
  <c r="J22" i="4" s="1"/>
  <c r="G23" i="4" s="1"/>
  <c r="H23" i="4" l="1"/>
  <c r="J23" i="4" s="1"/>
  <c r="G24" i="4" s="1"/>
  <c r="H24" i="4" l="1"/>
  <c r="J24" i="4" s="1"/>
  <c r="G25" i="4" s="1"/>
  <c r="H25" i="4" l="1"/>
  <c r="J25" i="4" s="1"/>
  <c r="G26" i="4" s="1"/>
  <c r="H26" i="4" l="1"/>
  <c r="J26" i="4" s="1"/>
  <c r="G27" i="4" s="1"/>
  <c r="H27" i="4" l="1"/>
  <c r="J27" i="4" s="1"/>
  <c r="G28" i="4" s="1"/>
  <c r="H28" i="4" l="1"/>
  <c r="J28" i="4" s="1"/>
  <c r="G29" i="4" s="1"/>
  <c r="H29" i="4" l="1"/>
  <c r="J29" i="4"/>
  <c r="G30" i="4" s="1"/>
  <c r="H30" i="4" l="1"/>
  <c r="J30" i="4" s="1"/>
  <c r="G31" i="4" s="1"/>
  <c r="H31" i="4" l="1"/>
  <c r="J31" i="4" s="1"/>
  <c r="J194" i="4" l="1"/>
  <c r="G32" i="4"/>
  <c r="H32" i="4" l="1"/>
  <c r="J32" i="4" s="1"/>
  <c r="G33" i="4" s="1"/>
  <c r="H33" i="4" l="1"/>
  <c r="J33" i="4"/>
  <c r="G34" i="4" s="1"/>
  <c r="H34" i="4" l="1"/>
  <c r="J34" i="4" s="1"/>
  <c r="G35" i="4" s="1"/>
  <c r="H35" i="4" l="1"/>
  <c r="J35" i="4" s="1"/>
  <c r="G36" i="4" s="1"/>
  <c r="H36" i="4" l="1"/>
  <c r="J36" i="4" s="1"/>
  <c r="G37" i="4" s="1"/>
  <c r="H37" i="4" l="1"/>
  <c r="J37" i="4" s="1"/>
  <c r="G38" i="4" s="1"/>
  <c r="H38" i="4" l="1"/>
  <c r="J38" i="4" s="1"/>
  <c r="G39" i="4" s="1"/>
  <c r="H39" i="4" l="1"/>
  <c r="J39" i="4" s="1"/>
  <c r="G40" i="4" s="1"/>
  <c r="H40" i="4" l="1"/>
  <c r="J40" i="4" s="1"/>
  <c r="G41" i="4" s="1"/>
  <c r="H41" i="4" l="1"/>
  <c r="J41" i="4" s="1"/>
  <c r="G42" i="4" s="1"/>
  <c r="H42" i="4" l="1"/>
  <c r="J42" i="4" s="1"/>
  <c r="G43" i="4" s="1"/>
  <c r="H43" i="4" l="1"/>
  <c r="J43" i="4" s="1"/>
  <c r="G44" i="4" s="1"/>
  <c r="H44" i="4" l="1"/>
  <c r="J44" i="4" s="1"/>
  <c r="G45" i="4" s="1"/>
  <c r="H45" i="4" l="1"/>
  <c r="J45" i="4" s="1"/>
  <c r="G46" i="4" s="1"/>
  <c r="H46" i="4" l="1"/>
  <c r="J46" i="4" s="1"/>
  <c r="G47" i="4" s="1"/>
  <c r="H47" i="4" l="1"/>
  <c r="J47" i="4" s="1"/>
  <c r="G48" i="4" s="1"/>
  <c r="H48" i="4" l="1"/>
  <c r="J48" i="4" s="1"/>
  <c r="G49" i="4" s="1"/>
  <c r="H49" i="4" l="1"/>
  <c r="J49" i="4" s="1"/>
  <c r="G50" i="4" s="1"/>
  <c r="H50" i="4" l="1"/>
  <c r="J50" i="4" s="1"/>
  <c r="G51" i="4" s="1"/>
  <c r="H51" i="4" l="1"/>
  <c r="J51" i="4" s="1"/>
  <c r="G52" i="4" s="1"/>
  <c r="H52" i="4" l="1"/>
  <c r="J52" i="4" s="1"/>
  <c r="G53" i="4" s="1"/>
  <c r="H53" i="4" l="1"/>
  <c r="J53" i="4" s="1"/>
  <c r="G54" i="4" s="1"/>
  <c r="H54" i="4" l="1"/>
  <c r="J54" i="4" s="1"/>
  <c r="G55" i="4" s="1"/>
  <c r="H55" i="4" l="1"/>
  <c r="J55" i="4" s="1"/>
  <c r="G56" i="4" s="1"/>
  <c r="H56" i="4" l="1"/>
  <c r="J56" i="4" s="1"/>
  <c r="G57" i="4" s="1"/>
  <c r="H57" i="4" l="1"/>
  <c r="J57" i="4" s="1"/>
  <c r="G58" i="4" s="1"/>
  <c r="H58" i="4" l="1"/>
  <c r="J58" i="4" s="1"/>
  <c r="G59" i="4" s="1"/>
  <c r="H59" i="4" l="1"/>
  <c r="J59" i="4" s="1"/>
  <c r="G60" i="4" s="1"/>
  <c r="H60" i="4" l="1"/>
  <c r="J60" i="4" s="1"/>
  <c r="G61" i="4" s="1"/>
  <c r="H61" i="4" l="1"/>
  <c r="J61" i="4" s="1"/>
  <c r="G62" i="4" s="1"/>
  <c r="H62" i="4" l="1"/>
  <c r="J62" i="4" s="1"/>
  <c r="G63" i="4" s="1"/>
  <c r="H63" i="4" l="1"/>
  <c r="J63" i="4" s="1"/>
  <c r="G64" i="4" s="1"/>
  <c r="H64" i="4" l="1"/>
  <c r="J64" i="4" s="1"/>
  <c r="G65" i="4" s="1"/>
  <c r="H65" i="4" l="1"/>
  <c r="J65" i="4" s="1"/>
  <c r="G66" i="4" s="1"/>
  <c r="H66" i="4" l="1"/>
  <c r="J66" i="4" s="1"/>
  <c r="G67" i="4" s="1"/>
  <c r="H67" i="4" l="1"/>
  <c r="J67" i="4" s="1"/>
  <c r="G68" i="4" s="1"/>
  <c r="H68" i="4" l="1"/>
  <c r="J68" i="4" s="1"/>
  <c r="G69" i="4" s="1"/>
  <c r="H69" i="4" l="1"/>
  <c r="J69" i="4" s="1"/>
  <c r="G70" i="4" s="1"/>
  <c r="H70" i="4" l="1"/>
  <c r="J70" i="4" s="1"/>
  <c r="G71" i="4" s="1"/>
  <c r="H71" i="4" l="1"/>
  <c r="J71" i="4" s="1"/>
  <c r="G72" i="4" s="1"/>
  <c r="H72" i="4" l="1"/>
  <c r="J72" i="4" s="1"/>
  <c r="G73" i="4" s="1"/>
  <c r="H73" i="4" l="1"/>
  <c r="J73" i="4" s="1"/>
  <c r="G74" i="4" s="1"/>
  <c r="H74" i="4" l="1"/>
  <c r="J74" i="4" s="1"/>
  <c r="G75" i="4" s="1"/>
  <c r="H75" i="4" l="1"/>
  <c r="J75" i="4" s="1"/>
  <c r="G76" i="4" s="1"/>
  <c r="H76" i="4" l="1"/>
  <c r="J76" i="4" s="1"/>
  <c r="G77" i="4" s="1"/>
  <c r="H77" i="4" l="1"/>
  <c r="J77" i="4" s="1"/>
  <c r="G78" i="4" s="1"/>
  <c r="H78" i="4" l="1"/>
  <c r="J78" i="4" s="1"/>
  <c r="G79" i="4" s="1"/>
  <c r="H79" i="4" l="1"/>
  <c r="J79" i="4" s="1"/>
  <c r="G80" i="4" s="1"/>
  <c r="H80" i="4" l="1"/>
  <c r="J80" i="4" s="1"/>
  <c r="G81" i="4" s="1"/>
  <c r="H81" i="4" l="1"/>
  <c r="J81" i="4"/>
  <c r="G82" i="4" s="1"/>
  <c r="H82" i="4" l="1"/>
  <c r="J82" i="4" s="1"/>
  <c r="G83" i="4" s="1"/>
  <c r="H83" i="4" l="1"/>
  <c r="J83" i="4" s="1"/>
  <c r="G84" i="4" s="1"/>
  <c r="H84" i="4" l="1"/>
  <c r="J84" i="4" s="1"/>
  <c r="G85" i="4" s="1"/>
  <c r="H85" i="4" l="1"/>
  <c r="J85" i="4" s="1"/>
  <c r="G86" i="4" s="1"/>
  <c r="H86" i="4" l="1"/>
  <c r="J86" i="4" s="1"/>
  <c r="G87" i="4" s="1"/>
  <c r="H87" i="4" l="1"/>
  <c r="J87" i="4" s="1"/>
  <c r="G88" i="4" s="1"/>
  <c r="H88" i="4" l="1"/>
  <c r="J88" i="4" s="1"/>
  <c r="G89" i="4" s="1"/>
  <c r="H89" i="4" l="1"/>
  <c r="J89" i="4"/>
  <c r="G90" i="4" s="1"/>
  <c r="H90" i="4" l="1"/>
  <c r="J90" i="4" s="1"/>
  <c r="G91" i="4" s="1"/>
  <c r="H91" i="4" l="1"/>
  <c r="J91" i="4" s="1"/>
  <c r="G92" i="4" s="1"/>
  <c r="H92" i="4" l="1"/>
  <c r="J92" i="4" s="1"/>
  <c r="G93" i="4" s="1"/>
  <c r="H93" i="4" l="1"/>
  <c r="J93" i="4" s="1"/>
  <c r="G94" i="4" s="1"/>
  <c r="H94" i="4" l="1"/>
  <c r="J94" i="4" s="1"/>
  <c r="G95" i="4" s="1"/>
  <c r="H95" i="4" l="1"/>
  <c r="J95" i="4" s="1"/>
  <c r="G96" i="4" s="1"/>
  <c r="H96" i="4" l="1"/>
  <c r="J96" i="4" s="1"/>
  <c r="G97" i="4" s="1"/>
  <c r="H97" i="4" l="1"/>
  <c r="J97" i="4" s="1"/>
  <c r="G98" i="4" s="1"/>
  <c r="H98" i="4" l="1"/>
  <c r="J98" i="4" s="1"/>
  <c r="G99" i="4" s="1"/>
  <c r="H99" i="4" l="1"/>
  <c r="J99" i="4"/>
  <c r="G100" i="4" s="1"/>
  <c r="H100" i="4" l="1"/>
  <c r="J100" i="4" s="1"/>
  <c r="G101" i="4" s="1"/>
  <c r="H101" i="4" l="1"/>
  <c r="J101" i="4" s="1"/>
  <c r="G102" i="4" s="1"/>
  <c r="H102" i="4" l="1"/>
  <c r="J102" i="4" s="1"/>
  <c r="G103" i="4" s="1"/>
  <c r="H103" i="4" l="1"/>
  <c r="J103" i="4" s="1"/>
  <c r="G104" i="4" s="1"/>
  <c r="H104" i="4" l="1"/>
  <c r="J104" i="4" s="1"/>
  <c r="G105" i="4" s="1"/>
  <c r="H105" i="4" l="1"/>
  <c r="J105" i="4" s="1"/>
  <c r="G106" i="4" s="1"/>
  <c r="H106" i="4" l="1"/>
  <c r="J106" i="4" s="1"/>
  <c r="G107" i="4" s="1"/>
  <c r="H107" i="4" l="1"/>
  <c r="J107" i="4" s="1"/>
  <c r="G108" i="4" s="1"/>
  <c r="H108" i="4" l="1"/>
  <c r="J108" i="4" s="1"/>
  <c r="G109" i="4" s="1"/>
  <c r="H109" i="4" l="1"/>
  <c r="J109" i="4" s="1"/>
  <c r="G110" i="4" s="1"/>
  <c r="H110" i="4" l="1"/>
  <c r="J110" i="4" s="1"/>
  <c r="G111" i="4" s="1"/>
  <c r="H111" i="4" l="1"/>
  <c r="J111" i="4" s="1"/>
  <c r="G112" i="4" s="1"/>
  <c r="H112" i="4" l="1"/>
  <c r="J112" i="4" s="1"/>
  <c r="G113" i="4" s="1"/>
  <c r="H113" i="4" l="1"/>
  <c r="J113" i="4" s="1"/>
  <c r="G114" i="4" s="1"/>
  <c r="H114" i="4" l="1"/>
  <c r="J114" i="4" s="1"/>
  <c r="G115" i="4" s="1"/>
  <c r="H115" i="4" l="1"/>
  <c r="J115" i="4" s="1"/>
  <c r="G116" i="4" s="1"/>
  <c r="H116" i="4" l="1"/>
  <c r="J116" i="4" s="1"/>
  <c r="G117" i="4" s="1"/>
  <c r="H117" i="4" l="1"/>
  <c r="J117" i="4" s="1"/>
  <c r="G118" i="4" s="1"/>
  <c r="H118" i="4" l="1"/>
  <c r="J118" i="4" s="1"/>
  <c r="G119" i="4" s="1"/>
  <c r="H119" i="4" l="1"/>
  <c r="J119" i="4" s="1"/>
  <c r="G120" i="4" s="1"/>
  <c r="H120" i="4" l="1"/>
  <c r="J120" i="4" s="1"/>
  <c r="G121" i="4" s="1"/>
  <c r="H121" i="4" l="1"/>
  <c r="J121" i="4" s="1"/>
  <c r="G122" i="4" s="1"/>
  <c r="H122" i="4" l="1"/>
  <c r="J122" i="4" s="1"/>
  <c r="G123" i="4" s="1"/>
  <c r="H123" i="4" l="1"/>
  <c r="J123" i="4" s="1"/>
  <c r="G124" i="4" s="1"/>
  <c r="H124" i="4" l="1"/>
  <c r="J124" i="4" s="1"/>
  <c r="G125" i="4" s="1"/>
  <c r="H125" i="4" l="1"/>
  <c r="J125" i="4" s="1"/>
  <c r="G126" i="4" s="1"/>
  <c r="H126" i="4" l="1"/>
  <c r="J126" i="4" s="1"/>
  <c r="G127" i="4" s="1"/>
  <c r="H127" i="4" l="1"/>
  <c r="J127" i="4" s="1"/>
  <c r="G128" i="4" s="1"/>
  <c r="H128" i="4" l="1"/>
  <c r="J128" i="4"/>
  <c r="G129" i="4" s="1"/>
  <c r="H129" i="4" l="1"/>
  <c r="J129" i="4" s="1"/>
  <c r="G130" i="4" s="1"/>
  <c r="H130" i="4" l="1"/>
  <c r="J130" i="4"/>
  <c r="G131" i="4" s="1"/>
  <c r="H131" i="4" l="1"/>
  <c r="J131" i="4" s="1"/>
  <c r="G132" i="4" s="1"/>
  <c r="H132" i="4" l="1"/>
  <c r="J132" i="4" s="1"/>
  <c r="G133" i="4" s="1"/>
  <c r="H133" i="4" l="1"/>
  <c r="J133" i="4" s="1"/>
  <c r="G134" i="4" s="1"/>
  <c r="H134" i="4" l="1"/>
  <c r="J134" i="4" s="1"/>
  <c r="G135" i="4" s="1"/>
  <c r="H135" i="4" l="1"/>
  <c r="J135" i="4" s="1"/>
  <c r="G136" i="4" s="1"/>
  <c r="H136" i="4" l="1"/>
  <c r="J136" i="4" s="1"/>
  <c r="G137" i="4" s="1"/>
  <c r="H137" i="4" l="1"/>
  <c r="J137" i="4" s="1"/>
  <c r="G138" i="4" s="1"/>
  <c r="H138" i="4" l="1"/>
  <c r="J138" i="4" s="1"/>
  <c r="G139" i="4" s="1"/>
  <c r="H139" i="4" l="1"/>
  <c r="J139" i="4" s="1"/>
  <c r="G140" i="4" s="1"/>
  <c r="H140" i="4" l="1"/>
  <c r="J140" i="4" s="1"/>
  <c r="G141" i="4" s="1"/>
  <c r="H141" i="4" l="1"/>
  <c r="J141" i="4" s="1"/>
  <c r="G142" i="4" s="1"/>
  <c r="H142" i="4" l="1"/>
  <c r="J142" i="4" s="1"/>
  <c r="G143" i="4" s="1"/>
  <c r="H143" i="4" l="1"/>
  <c r="J143" i="4"/>
  <c r="G144" i="4" s="1"/>
  <c r="H144" i="4" l="1"/>
  <c r="J144" i="4" s="1"/>
  <c r="G145" i="4" s="1"/>
  <c r="H145" i="4" l="1"/>
  <c r="J145" i="4" s="1"/>
  <c r="G146" i="4" s="1"/>
  <c r="H146" i="4" l="1"/>
  <c r="J146" i="4" s="1"/>
  <c r="G147" i="4" s="1"/>
  <c r="H147" i="4" l="1"/>
  <c r="J147" i="4"/>
  <c r="G148" i="4" s="1"/>
  <c r="H148" i="4" l="1"/>
  <c r="J148" i="4" s="1"/>
  <c r="G149" i="4" s="1"/>
  <c r="H149" i="4" l="1"/>
  <c r="J149" i="4" s="1"/>
  <c r="G150" i="4" s="1"/>
  <c r="H150" i="4" l="1"/>
  <c r="J150" i="4" s="1"/>
  <c r="G151" i="4" s="1"/>
  <c r="H151" i="4" l="1"/>
  <c r="J151" i="4" s="1"/>
  <c r="G152" i="4" s="1"/>
  <c r="H152" i="4" l="1"/>
  <c r="J152" i="4" s="1"/>
  <c r="G153" i="4" s="1"/>
  <c r="H153" i="4" l="1"/>
  <c r="J153" i="4" s="1"/>
  <c r="G154" i="4" s="1"/>
  <c r="H154" i="4" l="1"/>
  <c r="J154" i="4" s="1"/>
  <c r="G155" i="4" s="1"/>
  <c r="H155" i="4" l="1"/>
  <c r="J155" i="4"/>
  <c r="G156" i="4" s="1"/>
  <c r="H156" i="4" l="1"/>
  <c r="J156" i="4" s="1"/>
  <c r="G157" i="4" s="1"/>
  <c r="H157" i="4" l="1"/>
  <c r="J157" i="4" s="1"/>
  <c r="G158" i="4" s="1"/>
  <c r="H158" i="4" l="1"/>
  <c r="J158" i="4" s="1"/>
  <c r="G159" i="4" s="1"/>
  <c r="H159" i="4" l="1"/>
  <c r="J159" i="4" s="1"/>
  <c r="G160" i="4" s="1"/>
  <c r="H160" i="4" l="1"/>
  <c r="J160" i="4" s="1"/>
  <c r="G161" i="4" s="1"/>
  <c r="H161" i="4" l="1"/>
  <c r="J161" i="4"/>
  <c r="G162" i="4" s="1"/>
  <c r="H162" i="4" l="1"/>
  <c r="J162" i="4" s="1"/>
  <c r="G163" i="4" s="1"/>
  <c r="H163" i="4" l="1"/>
  <c r="J163" i="4" s="1"/>
  <c r="G164" i="4" s="1"/>
  <c r="H164" i="4" l="1"/>
  <c r="J164" i="4" s="1"/>
  <c r="G165" i="4" s="1"/>
  <c r="H165" i="4" l="1"/>
  <c r="J165" i="4" s="1"/>
  <c r="G166" i="4" s="1"/>
  <c r="H166" i="4" l="1"/>
  <c r="J166" i="4" s="1"/>
  <c r="G167" i="4" s="1"/>
  <c r="H167" i="4" l="1"/>
  <c r="J167" i="4" s="1"/>
  <c r="G168" i="4" s="1"/>
  <c r="H168" i="4" l="1"/>
  <c r="J168" i="4" s="1"/>
  <c r="G169" i="4" s="1"/>
  <c r="H169" i="4" l="1"/>
  <c r="J169" i="4" s="1"/>
  <c r="G170" i="4" s="1"/>
  <c r="H170" i="4" l="1"/>
  <c r="J170" i="4" s="1"/>
  <c r="G171" i="4" s="1"/>
  <c r="H171" i="4" l="1"/>
  <c r="J171" i="4" s="1"/>
  <c r="G172" i="4" s="1"/>
  <c r="H172" i="4" l="1"/>
  <c r="J172" i="4" s="1"/>
  <c r="G173" i="4" s="1"/>
  <c r="H173" i="4" l="1"/>
  <c r="J173" i="4" s="1"/>
  <c r="G174" i="4" s="1"/>
  <c r="H174" i="4" l="1"/>
  <c r="J174" i="4" s="1"/>
  <c r="G175" i="4" s="1"/>
  <c r="H175" i="4" l="1"/>
  <c r="J175" i="4" s="1"/>
  <c r="G176" i="4" s="1"/>
  <c r="H176" i="4" l="1"/>
  <c r="J176" i="4" s="1"/>
  <c r="G177" i="4" s="1"/>
  <c r="H177" i="4" l="1"/>
  <c r="J177" i="4" s="1"/>
  <c r="G178" i="4" s="1"/>
  <c r="H178" i="4" l="1"/>
  <c r="J178" i="4" s="1"/>
  <c r="G179" i="4" s="1"/>
  <c r="H179" i="4" l="1"/>
  <c r="J179" i="4" s="1"/>
  <c r="G180" i="4" s="1"/>
  <c r="H180" i="4" l="1"/>
  <c r="J180" i="4" s="1"/>
  <c r="G181" i="4" s="1"/>
  <c r="H181" i="4" l="1"/>
  <c r="J181" i="4" s="1"/>
  <c r="G182" i="4" s="1"/>
  <c r="H182" i="4" l="1"/>
  <c r="J182" i="4" s="1"/>
  <c r="G183" i="4" s="1"/>
  <c r="H183" i="4" l="1"/>
  <c r="J183" i="4" s="1"/>
  <c r="G184" i="4" s="1"/>
  <c r="H184" i="4" l="1"/>
  <c r="J184" i="4" s="1"/>
  <c r="G185" i="4" s="1"/>
  <c r="H185" i="4" l="1"/>
  <c r="J185" i="4" s="1"/>
  <c r="G186" i="4" s="1"/>
  <c r="H186" i="4" l="1"/>
  <c r="J186" i="4" s="1"/>
  <c r="G187" i="4" s="1"/>
  <c r="H187" i="4" l="1"/>
  <c r="J187" i="4" s="1"/>
  <c r="G188" i="4" s="1"/>
  <c r="H188" i="4" l="1"/>
  <c r="J188" i="4"/>
  <c r="G189" i="4" s="1"/>
  <c r="H189" i="4" l="1"/>
  <c r="J189" i="4" s="1"/>
  <c r="G190" i="4" s="1"/>
  <c r="H190" i="4" l="1"/>
  <c r="J190" i="4" s="1"/>
  <c r="G191" i="4" s="1"/>
  <c r="H191" i="4" l="1"/>
  <c r="J191" i="4" s="1"/>
  <c r="G192" i="4" s="1"/>
  <c r="H192" i="4" l="1"/>
  <c r="J192" i="4" s="1"/>
  <c r="H194" i="4" l="1"/>
  <c r="C200" i="4" l="1"/>
  <c r="C202" i="4" s="1"/>
  <c r="C204" i="4" s="1"/>
  <c r="I202" i="4"/>
</calcChain>
</file>

<file path=xl/sharedStrings.xml><?xml version="1.0" encoding="utf-8"?>
<sst xmlns="http://schemas.openxmlformats.org/spreadsheetml/2006/main" count="322" uniqueCount="251">
  <si>
    <t>Al 31 de Diciembre de 2019</t>
  </si>
  <si>
    <t>Expresado en dólares completos</t>
  </si>
  <si>
    <r>
      <rPr>
        <b/>
        <sz val="10"/>
        <rFont val="Arial"/>
        <family val="2"/>
        <charset val="1"/>
      </rPr>
      <t>Fuente:</t>
    </r>
    <r>
      <rPr>
        <sz val="10"/>
        <rFont val="Arial"/>
        <family val="2"/>
        <charset val="1"/>
      </rPr>
      <t xml:space="preserve"> </t>
    </r>
  </si>
  <si>
    <t>Cuentas de Balance: Ingresos seleccionados para ser probadas a traves de procedimientos sustantivos de detalle</t>
  </si>
  <si>
    <t>Objetivo:</t>
  </si>
  <si>
    <t xml:space="preserve">Obtener saldos de clientes a ser sometidas a selección (subseleccion), proceso de circularizaicón de confirmaciones de saldos </t>
  </si>
  <si>
    <r>
      <rPr>
        <b/>
        <sz val="10"/>
        <rFont val="Arial"/>
        <family val="2"/>
        <charset val="1"/>
      </rPr>
      <t>Procedimiento realizado</t>
    </r>
    <r>
      <rPr>
        <sz val="10"/>
        <rFont val="Arial"/>
        <family val="2"/>
        <charset val="1"/>
      </rPr>
      <t>: Un detalle de las actividades realizadas a continuación:</t>
    </r>
  </si>
  <si>
    <t>1. Determinar aquellas cuentas que se probarán a través de procedimientos sustantivos de detalle.</t>
  </si>
  <si>
    <t>2. Realizar una selección estadística utilizando un nivel básico de seguridad sustantiva</t>
  </si>
  <si>
    <t xml:space="preserve">3. Realizar una subselección estadística para aquellas partidas seleccionadas </t>
  </si>
  <si>
    <t>4. Obtener conclusiones</t>
  </si>
  <si>
    <t>Conclusion:</t>
  </si>
  <si>
    <t xml:space="preserve"> Las conclusiones sobre los errores potenciales identificados anteriormente serán documentados en PT. 8340</t>
  </si>
  <si>
    <t>New Audit Methodology Sample Size &amp; Threshold Calculator</t>
  </si>
  <si>
    <t>[09-10]</t>
  </si>
  <si>
    <t>U.S. Audit Approach Manual (AAM) 2010 (Effective for annual periods beginning on or after December 15, 2009)</t>
  </si>
  <si>
    <r>
      <rPr>
        <sz val="8"/>
        <color rgb="FF000000"/>
        <rFont val="Arial"/>
        <family val="2"/>
        <charset val="1"/>
      </rPr>
      <t>Population Name (</t>
    </r>
    <r>
      <rPr>
        <i/>
        <sz val="8"/>
        <color rgb="FF000000"/>
        <rFont val="Arial"/>
        <family val="2"/>
        <charset val="1"/>
      </rPr>
      <t>optional</t>
    </r>
    <r>
      <rPr>
        <sz val="8"/>
        <color rgb="FF000000"/>
        <rFont val="Arial"/>
        <family val="2"/>
        <charset val="1"/>
      </rPr>
      <t xml:space="preserve">): </t>
    </r>
  </si>
  <si>
    <t xml:space="preserve">Population: </t>
  </si>
  <si>
    <t xml:space="preserve">Performance Materiality (PM): </t>
  </si>
  <si>
    <t>Risk/Controls Strategy:</t>
  </si>
  <si>
    <t>Risk (not significant) &amp; Relying on Controls — Normal Extent of Testing</t>
  </si>
  <si>
    <t>Multiples of PM:</t>
  </si>
  <si>
    <t>Minimum required selections if performing Tests of Details:</t>
  </si>
  <si>
    <t>Threshold if performing Substantive Analytical Procedures:</t>
  </si>
  <si>
    <t xml:space="preserve">Minimum # of 
Selections Required: </t>
  </si>
  <si>
    <t>Risk (not significant) &amp; Relying on Controls — Low Extent of Testing</t>
  </si>
  <si>
    <t>Significant Risk &amp; Relying on Controls, or Risk (not significant) &amp; Not Relying on Controls</t>
  </si>
  <si>
    <t>Significant Risk &amp; Not Relying on Controls</t>
  </si>
  <si>
    <t>PM 1x - 10x</t>
  </si>
  <si>
    <t>PM 10x - 15x</t>
  </si>
  <si>
    <t>PM 15x - 20x</t>
  </si>
  <si>
    <t>PM 20x - 25x</t>
  </si>
  <si>
    <t>PM 25x - 30x</t>
  </si>
  <si>
    <t>PM 30x - 40x</t>
  </si>
  <si>
    <t>PM 40x - 50x</t>
  </si>
  <si>
    <t>PM 50x - 100x</t>
  </si>
  <si>
    <t>PM 100x - 200x</t>
  </si>
  <si>
    <t>Threshold</t>
  </si>
  <si>
    <t>Prueba
N.-</t>
  </si>
  <si>
    <t>Asiento</t>
  </si>
  <si>
    <t>Fecha</t>
  </si>
  <si>
    <t>Descripccion</t>
  </si>
  <si>
    <t>Monto</t>
  </si>
  <si>
    <t xml:space="preserve">Selección Pruebas de Detalle - Cuentas de Balance: Gastos </t>
  </si>
  <si>
    <t>Al 31 de Diciembre del 2019</t>
  </si>
  <si>
    <t>Hoja de Trabajo de Muestreo Monetario Acumulativo</t>
  </si>
  <si>
    <t>Nombre de la cuenta</t>
  </si>
  <si>
    <t>Gastos</t>
  </si>
  <si>
    <t>Población</t>
  </si>
  <si>
    <t>Ver PT</t>
  </si>
  <si>
    <t xml:space="preserve">Tamaño de Muestra </t>
  </si>
  <si>
    <t xml:space="preserve">Intervalo de Muestreo </t>
  </si>
  <si>
    <t>Inicio Aleatorio</t>
  </si>
  <si>
    <t>Partida #</t>
  </si>
  <si>
    <t>Descripción Cuenta</t>
  </si>
  <si>
    <t>Sub-Total</t>
  </si>
  <si>
    <t>Número de Selecciones</t>
  </si>
  <si>
    <t>Intervalo de Muestreo</t>
  </si>
  <si>
    <t>Resto de Selección</t>
  </si>
  <si>
    <t>NO USAR ESTA LÍNEA</t>
  </si>
  <si>
    <t>DEJAR EN BLANCO</t>
  </si>
  <si>
    <t>Fin de partidas</t>
  </si>
  <si>
    <t>Total Población:</t>
  </si>
  <si>
    <t># de Selecciones:</t>
  </si>
  <si>
    <t>MMA</t>
  </si>
  <si>
    <t>Calculo de Tamano Muestra</t>
  </si>
  <si>
    <t>Intervalo de Muestra * # de Selecciones</t>
  </si>
  <si>
    <t>Materialidad</t>
  </si>
  <si>
    <t>Resto de la Selección</t>
  </si>
  <si>
    <t>Tamano de Muestra</t>
  </si>
  <si>
    <t>Población Por Detalle</t>
  </si>
  <si>
    <t>Diferencia</t>
  </si>
  <si>
    <t>TELSOTERRA S.A.</t>
  </si>
  <si>
    <t>Muestreo - Prueba de Gastos Administrativos y de Ventas</t>
  </si>
  <si>
    <t>FV 000000085-002001-ALQUILER DE TRANSPORTE</t>
  </si>
  <si>
    <t>FV 000000077-002001-ALQUILER DE TRANSPORTE</t>
  </si>
  <si>
    <t>FV 000000079-002001-ALQUILER DE TRANSPORTE</t>
  </si>
  <si>
    <t>FV 000000110-001001-ALQUILER DE CAMIONETA DESDE EL</t>
  </si>
  <si>
    <t>FV 000000561-001001-SERVICIO DE ALQUILER DE CAMION</t>
  </si>
  <si>
    <t>FV 000000113-001001-POR ALQUILER DE CAMIONETA DESD</t>
  </si>
  <si>
    <t>FV 000000120-002001-ALQUILER DE TRANSPORTE</t>
  </si>
  <si>
    <t>FV 000000119-002001-ALQUILER DE TRANSPORTE</t>
  </si>
  <si>
    <t>FV 000000111-002001-ALQUILER DE TRANSPORTE</t>
  </si>
  <si>
    <t>FV 000000559-001001-SERVICIO DE ALQUILER DE CAMION</t>
  </si>
  <si>
    <t>FV 000000562-001001-SERVICIO DE ALQUILER DE CAMION</t>
  </si>
  <si>
    <t>FV 000000053-001001-MOVILIZACIÓN-LOGISTICA DIA 21D</t>
  </si>
  <si>
    <t>CK 595-0 FRANCISCO LUVER QU :CK-1070987682: REPOSI</t>
  </si>
  <si>
    <t>FV 000000570-001001-SERVICIO DE ALQUILER DE CAMION</t>
  </si>
  <si>
    <t>FV 000000114-001001-ALQUILER DE CAMIONETA DESDE EL</t>
  </si>
  <si>
    <t>FV 000000001-001001-ALQUILER DE CAMIONETA</t>
  </si>
  <si>
    <t>FV 000000749-001001-ALQUILER CAMIONETA PARA MOVILI</t>
  </si>
  <si>
    <t>FV 000000747-001001-ALQUILER DE CAMIONETA PROYECTO</t>
  </si>
  <si>
    <t>FV 000000564-001001-SERVICIO DE ALQUILER DE CAMION</t>
  </si>
  <si>
    <t>FV 000000572-001001-SERVICIO DE ALQUILER DE CAMION</t>
  </si>
  <si>
    <t>FV 000000742-001001-SERVICIO DE ALQUILER DE CAMION</t>
  </si>
  <si>
    <t>FV 000000579-001001-SERVICIO DE ALQUILER DE CAMION</t>
  </si>
  <si>
    <t>FV 000000053-001001-ALQUILER DE CAMIONETA PARA DIS</t>
  </si>
  <si>
    <t>FV 000000055-001001-ALQUILER DE CAMIONETA POR DIST</t>
  </si>
  <si>
    <t>FV 000000137-002001-ALQUILER DE TRANSPORTE</t>
  </si>
  <si>
    <t>FV 000000585-001001-SERVICIO DE ALQUILER CAMIONETA</t>
  </si>
  <si>
    <t>FV 000000598-001001-ALQUILER DE CAMIONETA DEL 19-0</t>
  </si>
  <si>
    <t>FV 000000059-001001-ALQUILER CAMIONETA POR DISTINT</t>
  </si>
  <si>
    <t>FV 000000600-001001-SERVICIO ALQUILER CAMIONETA 16</t>
  </si>
  <si>
    <t>FV 000000617-001001-SERVICIO ALQUILER CAMIONETA DE</t>
  </si>
  <si>
    <t>FV 000030802-006002-SERVICIO DE LOGISTICA</t>
  </si>
  <si>
    <t>FV 000000828-001001-TRANSPORTE DE MINICARGADOR, BR</t>
  </si>
  <si>
    <t xml:space="preserve">FV 000000826-001001-CANCELACION DE GUÍA #153 #157 </t>
  </si>
  <si>
    <t>FV 000001190-001001-TANQUEROS DE AGUA</t>
  </si>
  <si>
    <t>FV 000001205-001001-TANQUERO DE AGUA</t>
  </si>
  <si>
    <t>FV 000000068-001037-TRASLADO DE MERCADERIA CAMPAME</t>
  </si>
  <si>
    <t>FV 000000829-001001-TRANSPORTE MATERIALES DE CONST</t>
  </si>
  <si>
    <t>FV 000000072-002001-ALQUILER DE TRANSPORTE</t>
  </si>
  <si>
    <t>FV 000001211-001001-TRANSPORTE DE AGUA</t>
  </si>
  <si>
    <t>FV 000000074-002001-ALQUILER DE TRANSPORTE</t>
  </si>
  <si>
    <t>FV 000000065-001037-TRASLADO DE HERRAMIENTAS DE CO</t>
  </si>
  <si>
    <t>FV 000000830-001001-TRANSPORTE DE MATERIALES DE CO</t>
  </si>
  <si>
    <t>FV 000000066-001037-TRASLADO DE MATERIALES PARA LA</t>
  </si>
  <si>
    <t>FV 000000067-001037-TRASLADO DE MATERIALES DESDE P</t>
  </si>
  <si>
    <t>FV 000032320-006002-SERVICIO DE LOGISTICA</t>
  </si>
  <si>
    <t>FV 000000831-001001-TRANSPORTE JORNADA MATUTINA SU</t>
  </si>
  <si>
    <t>FV 000000084-002001-ALQUILER DE TRANSPORTE</t>
  </si>
  <si>
    <t>FV 000000081-002001-ALQUILER DE TRANSPORTE</t>
  </si>
  <si>
    <t>FV 000000080-002001-TRANSPORTES INTERNOS DE MAQUIN</t>
  </si>
  <si>
    <t>FV 000000083-002001-ALQUILER DE TRANSPORTE</t>
  </si>
  <si>
    <t>FV 000000073-001037-TRASLADO DE MERCADERIA TUBOS D</t>
  </si>
  <si>
    <t>FV 000000834-001001-TRANSPORTE EN JORNADA DE TRABA</t>
  </si>
  <si>
    <t>FV 000000072-001037-TRASLADO DE MATERIALES A CAMPA</t>
  </si>
  <si>
    <t>FV 000000082-002001-ALQUILER DE TRANSPORTE</t>
  </si>
  <si>
    <t>FV 000000833-001001-TRANSPORTE EN JORNADA DE TRABA</t>
  </si>
  <si>
    <t>FV 000001609-001001-SERVICIO DE PALTAFORMAS AUTOCA</t>
  </si>
  <si>
    <t>FV 000000039-003001-TRABAJOS DE DESALOJOS DE MATER</t>
  </si>
  <si>
    <t>FV 000000840-001001-SERVICIO DE ALQUILER DIARIO DE</t>
  </si>
  <si>
    <t>FV 000001610-001001-MOVIMIENTO DESDE EL CAMPAMENTO</t>
  </si>
  <si>
    <t>FV 000000735-001001-ALQUILER DE CAMIONETA PARA TRA</t>
  </si>
  <si>
    <t>FV 000000836-001001-SERVICIO DE 2 PLATAFORMAS UTIL</t>
  </si>
  <si>
    <t>FV 000000045-003001-DESALOJOS DE LA OBRA FIDEICOMI</t>
  </si>
  <si>
    <t xml:space="preserve">FV 000000035-003001-DESALOJOS DE OBRA EN LA 10 DE </t>
  </si>
  <si>
    <t xml:space="preserve">FV 000000038-003001-DESALOJOS DIRECCIONADOS EN LA </t>
  </si>
  <si>
    <t>FV 000000837-001001-SERVICIO DE TRABAJOS EN PLATAF</t>
  </si>
  <si>
    <t>FV 000001272-001001-TRANSPORTE TANQUEROS DE AGUA</t>
  </si>
  <si>
    <t>FV 000000041-003001-SERVICIO DE DESALOJOS DE MATER</t>
  </si>
  <si>
    <t>FV 000000043-003001-SERVICIO DE DESALOJOS DE MATER</t>
  </si>
  <si>
    <t>FV 000000044-003001-SERVICIO DE DESALOJOS DE MATER</t>
  </si>
  <si>
    <t>FV 000000841-001001-TRANSPORTE DE MATERIALES EN JO</t>
  </si>
  <si>
    <t>FV 000002381-001001-TRANSPORTE DE ARENA EN LA OBRA</t>
  </si>
  <si>
    <t>FV 000000848-001001-JORNADA DE TRABAJO SUPERVISADO</t>
  </si>
  <si>
    <t>FV 000000851-001001-JORNADA TRABAJO SUPERVISADA PO</t>
  </si>
  <si>
    <t>FV 000000852-001001-JORNADA DE TRABAJO HORAS EXTRA</t>
  </si>
  <si>
    <t>FV 000000843-001001-JORNADA DE TRABAJO SUPERVISADA</t>
  </si>
  <si>
    <t>FV 000000443-001007-VIAJE DE AGUA POTABLE - 3 POST</t>
  </si>
  <si>
    <t>FV 000000850-001001-JORNADA DE TRABAJO SUPERVISADO</t>
  </si>
  <si>
    <t>FV 000001293-001001-2 TANQUEROS DE AGUA</t>
  </si>
  <si>
    <t>FV 000000846-001001-TRABAJO SUPERVISADO POR JAVIER</t>
  </si>
  <si>
    <t>FV 000000842-001001-JORNADA DE TRABAJO SUPERVISADA</t>
  </si>
  <si>
    <t>LIQUIDACIÓN #1 WILMINTON PINCAY GUTIERREZ, PROVISIONAL CHEQUE #365 BM , PROYECTO TELEFÓNICA BLOQUE#2</t>
  </si>
  <si>
    <t>FV 000001328-001001-SERVICIO DE ENVIO DE AGUA POTA</t>
  </si>
  <si>
    <t>FV 000000129-002001-ALQUILER DE TRANSPORTE</t>
  </si>
  <si>
    <t>FV 000000075-001037-TRASLADO DE MATERIALES Y VARIO</t>
  </si>
  <si>
    <t>FV 000000857-001001-TRABAJO SUPERVISADO POR JAVIER</t>
  </si>
  <si>
    <t>FV 000000860-001001-SERVICIO DE TRASLADOS EN CAMIO</t>
  </si>
  <si>
    <t>FV 000000131-002001-ALQUILER DE TRANSPORTE</t>
  </si>
  <si>
    <t>FV 000000863-001001-HORAS DE TRABAJO 07,13,14 JUNI</t>
  </si>
  <si>
    <t>FV 000000862-001001-JORNADA TRABAJO 07,11,12,13 JU</t>
  </si>
  <si>
    <t>FV 000000132-002001-ALQUILER DE TRANSPORTE</t>
  </si>
  <si>
    <t>FV 000000855-001001-JORNADA SUPERVISADA JAVIER COR</t>
  </si>
  <si>
    <t>FV 000000856-001001-JORNADA SUPERVISADA JAVIER COR</t>
  </si>
  <si>
    <t xml:space="preserve">FV 000000053-003001-SEGUN DETALLE DE 11 DESALOJOS </t>
  </si>
  <si>
    <t>FV 000000861-001001-JORNADA DE TRABAJO SUPERVISADA</t>
  </si>
  <si>
    <t>FV 000000859-001001-JORNADAS DE TRABAJO SUPERVISAD</t>
  </si>
  <si>
    <t>FV 000001327-001001-SERVICIO DE AGUA POTABLE SOLIC</t>
  </si>
  <si>
    <t>FV 000000058-003001-DESALOJOS</t>
  </si>
  <si>
    <t>FV 000000062-003001-DESALOJOS</t>
  </si>
  <si>
    <t>FV 000000127-002001-ALQUILER EQUIPOS DE CONSTRUCCI</t>
  </si>
  <si>
    <t>FV 000000124-002001-MOVILIZACIONES A PIADY/MILAGRO</t>
  </si>
  <si>
    <t>FV 000001743-001001-SERVICIO DE PLATAFORMAS AUTOCA</t>
  </si>
  <si>
    <t>FV 000044887-001100-SERVICIO DE LOGISTICA SEGUN OC</t>
  </si>
  <si>
    <t>FV 000001348-001001-6 TANQUEROS DE AGUA</t>
  </si>
  <si>
    <t>FV 000000046-001001-SERVICIO DE LOGISTICA POR COMP</t>
  </si>
  <si>
    <t>FV 000000078-001037-TRASLADO MATERIALES VARIOS DES</t>
  </si>
  <si>
    <t>FV 000000077-001037-TRASLADO MATERIALES VARIOS DES</t>
  </si>
  <si>
    <t>FV 000001800-001001-VIAJE PUERTO HONDO , PETRILLO,</t>
  </si>
  <si>
    <t>FV 000000070-003001-ALQUILER DE TRANSPORTE (DESALO</t>
  </si>
  <si>
    <t>FV 000000057-001001-ALQUILER DE CAMIONETA PARA DIS</t>
  </si>
  <si>
    <t>FV 000000056-001001-ALQUIER DE CAMIONETA POR DISTI</t>
  </si>
  <si>
    <t>FV 000001813-001001-SERVICIO DE TRASLADOS DE MAQUI</t>
  </si>
  <si>
    <t>FV 000000581-001001-SERVICIO ALQUILER CAMIONETA 08</t>
  </si>
  <si>
    <t>FV 000001670-001001-TRANSPORTE AUTORECARGABLE REAL</t>
  </si>
  <si>
    <t>FV 000001364-001001-3 TANQUEROS DE AGUA</t>
  </si>
  <si>
    <t>FV 000001799-001001-VIAJES DESDE URDESA A CAMPAMEN</t>
  </si>
  <si>
    <t>FV 000000754-001001-ALQUILER CAMIONETA EN PROYECTO</t>
  </si>
  <si>
    <t>FV 000000864-001001-VIAJE MINI CARGADOR VIA A LA C</t>
  </si>
  <si>
    <t>FV 000000141-002001-ALQUILER DE TRANSPORTE</t>
  </si>
  <si>
    <t>FV 000000597-001001-SERVICIO DE TRANSPORTE DEL CAM</t>
  </si>
  <si>
    <t>FB 000001399-001001-2 TANQUES DE AGUA</t>
  </si>
  <si>
    <t xml:space="preserve">FV 000001815-001001-VIAJES DE CAMPAMENTO TN A PTO </t>
  </si>
  <si>
    <t>FV 000000142-002001-ALQUILER DE TRANSPORTE</t>
  </si>
  <si>
    <t>FV 000000865-001001-JORNADAS TRABAJO 28-29-30-31 O</t>
  </si>
  <si>
    <t>FV 000000867-001001-JORNADAS DE TRABAJO 8-11-12-13</t>
  </si>
  <si>
    <t>FV 000001450-001001-TANQUERO DE AGUA</t>
  </si>
  <si>
    <t>FV 000000029-002010-SERVICIO DE HOSPEDAJE</t>
  </si>
  <si>
    <t>FV 000000030-002010-SERVICIO DE HOSPEDAJE DEL ING.</t>
  </si>
  <si>
    <t>CK 266-0 ALEXI AGUSTO RODRI :CK-1070987682: Gastos</t>
  </si>
  <si>
    <t>CK 267-0 ALEXI AGUSTO RODRI :CK-1070987682: Gastos</t>
  </si>
  <si>
    <t>CK 268-0 FRANCISCO LUVER QU :CK-1070987682: REPOSI</t>
  </si>
  <si>
    <t>CK 806-0 MORAN MAZZINI DOUG :</t>
  </si>
  <si>
    <t>Liquidacion #1 entregado por Raul Cacurri Cheque #141 BM $790</t>
  </si>
  <si>
    <t>Liquidacion entregada por Francisco Montiel Cheque #948 BI $953</t>
  </si>
  <si>
    <t>Liquidacion #2 por provisional entregado a Wilmington Pincay con cheque #906</t>
  </si>
  <si>
    <t>Liquidacion #2 Raul Cacurri con cheque #141 Banco Machala</t>
  </si>
  <si>
    <t>CK 368-0 ALEXI AGUSTO RODRI :CK-1070987682: Gastos</t>
  </si>
  <si>
    <t xml:space="preserve">CK 369-0  ALEXI AGUSTO RODR :CK-1070987682: Gasto </t>
  </si>
  <si>
    <t>CK 369-0  ALEXI AGUSTO RODR :</t>
  </si>
  <si>
    <t>CK 650-0 FRANCISCO LUVER QU :DB -1070987682: REPOS</t>
  </si>
  <si>
    <t>LIQ. #2 CK#649 FERNANDO LINO POR ANTICIPO CON CRUCE TOPO CHASQUI BOLICHE</t>
  </si>
  <si>
    <t>LIQ. #1 CK#648 WILMINTON PINCAY PROYECTO CRUCES RIOBAMBA Y AMBATO</t>
  </si>
  <si>
    <t>CK 344-0 ALEXI AGUSTO RODRI :CK-1070987682: Gastos</t>
  </si>
  <si>
    <t>CK 362-0 XAVIER ANTONIO ICA :CK-1070987682: Gastos</t>
  </si>
  <si>
    <t>CK 345-0 ALEXI AGUSTO RODRI :CK-1070987682: Gastos</t>
  </si>
  <si>
    <t>FV 000001945-001002-SERVICIOS DE GUARDIANIA</t>
  </si>
  <si>
    <t>Liquidacion #3 por provisional entregado a Wilmington Pincay cheque #906</t>
  </si>
  <si>
    <t>FV 000002115-001002-SERVICIOS DE GUARDIANIA</t>
  </si>
  <si>
    <t>FV 000002378-001002-SERVICIOS DE GUARDIANIA</t>
  </si>
  <si>
    <t>FV 000002508-001002-SERVICIO DE GUARDIANIA</t>
  </si>
  <si>
    <t>FV 000002698-001002-SERVICIO DE GUARDIANIA</t>
  </si>
  <si>
    <t>FV 000002695-001002-SERVICIOS DE GUARDIANIA</t>
  </si>
  <si>
    <t>FV 000007637-001001-SERVICIO DE GUARDINIA POR PART</t>
  </si>
  <si>
    <t>FV 000000003-001001-SERVICIO DE GUARDIANIA PARA LO</t>
  </si>
  <si>
    <t>FV 000002796-001002-SERVICIO GUARDIANIA</t>
  </si>
  <si>
    <t>FV 000000005-001001-SERVICIO DE GUARDIA TURNO 17:0</t>
  </si>
  <si>
    <t>NC 000000056-001001-DESCUENTO POR PRESENTACIÓN TAR</t>
  </si>
  <si>
    <t>FV 000003039-001002-SERVICIOS DE GUARDIANA SOLICIT</t>
  </si>
  <si>
    <t>FV 000003044-001002-SERVICIO DE GUARDIANIA</t>
  </si>
  <si>
    <t>FV 000003631-001002-SERVICIO DE GUARDIANIA</t>
  </si>
  <si>
    <t>FV 000003594-001002-SERVICIO GUARDIANIA</t>
  </si>
  <si>
    <t>LIQUIDACIÓN #2 CK#648 BM WILMINTON PINCAY CRUCE TOPO CHASQUI BOLICHE</t>
  </si>
  <si>
    <t>FV 000000117-002001-SERVICIOS PROFESIONALES PERSON</t>
  </si>
  <si>
    <t>FC 000001412-001001-INFORME DE AUDITORIA EXTERNA A</t>
  </si>
  <si>
    <t>FV 000000742-002001-HONORARIOS COMO INTERVENTOR PO</t>
  </si>
  <si>
    <t>FV 000002426-001001-INST. 72 MTS LINEALES DE TUBER</t>
  </si>
  <si>
    <t>FV 000002427-001001-INST. SOPORTES PARA FIJAR 2 LI</t>
  </si>
  <si>
    <t>FV 000000759-002001-HONORARIOS COMO INTERVENTOR ME</t>
  </si>
  <si>
    <t>FV 000000770-002001-HONORARIOS COMO INTERVENTOR PO</t>
  </si>
  <si>
    <t>FC 000000784-002001-HONORARIOS COMO INTERVENTOR PO</t>
  </si>
  <si>
    <t>FV 000000793-002001-HONORARIOS COMO INTERVENTOR PO</t>
  </si>
  <si>
    <t>FV 000000801-002001-HONORARIOS COMO INTERVENTOR PO</t>
  </si>
  <si>
    <t>FV 000000812-002001-HONORARIOS COMO INTERVENTOR PO</t>
  </si>
  <si>
    <t>FV 000000825-002001-HONORARIOS COMO INTERVENTOR PO</t>
  </si>
  <si>
    <t xml:space="preserve">CK 620-0 M.I. MUNICIPALIDAD :DB -1070987682: PAGO </t>
  </si>
  <si>
    <t>CK 680-0 FRANCISCO LUVER QU :DB -1070987682: REPOS</t>
  </si>
  <si>
    <t xml:space="preserve">CK 759-0 SUPERINTENDENCIA D :DB -1070987682: PAGO </t>
  </si>
  <si>
    <t>CK 814-0 SUPERINTENDENCIA D :CK-1070987682: Pago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</si>
</sst>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 &quot;$&quot;* #,##0.00_ ;_ &quot;$&quot;* \-#,##0.00_ ;_ &quot;$&quot;* &quot;-&quot;??_ ;_ @_ "/>
    <numFmt numFmtId="164" formatCode="#,##0_);\(#,##0\)"/>
    <numFmt numFmtId="165" formatCode="_(* #,##0_);_(* \(#,##0\);_(* \-??_);_(@_)"/>
    <numFmt numFmtId="166" formatCode="#,##0.00_);\(#,##0.00\)"/>
    <numFmt numFmtId="167" formatCode="_(* #,##0_);_(* \(#,##0\);_(* \-_);_(@_)"/>
    <numFmt numFmtId="168" formatCode="_(* #,##0.00_);_(* \(#,##0.00\);_(* \-??_);_(@_)"/>
  </numFmts>
  <fonts count="29" x14ac:knownFonts="1">
    <font>
      <sz val="10"/>
      <name val="Arial"/>
      <family val="2"/>
      <charset val="1"/>
    </font>
    <font>
      <sz val="10"/>
      <name val="Arial"/>
    </font>
    <font>
      <b/>
      <sz val="1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A6A6A6"/>
      <name val="Arial"/>
      <family val="2"/>
      <charset val="1"/>
    </font>
    <font>
      <i/>
      <sz val="8"/>
      <color rgb="FFA6A6A6"/>
      <name val="Arial"/>
      <family val="2"/>
      <charset val="1"/>
    </font>
    <font>
      <sz val="8"/>
      <color rgb="FFFF0000"/>
      <name val="Arial"/>
      <family val="2"/>
      <charset val="1"/>
    </font>
    <font>
      <i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/>
      <sz val="8"/>
      <color rgb="FF0000FF"/>
      <name val="Arial"/>
      <family val="2"/>
      <charset val="1"/>
    </font>
    <font>
      <b/>
      <sz val="8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b/>
      <u/>
      <sz val="16"/>
      <name val="Arial"/>
      <family val="2"/>
      <charset val="1"/>
    </font>
    <font>
      <sz val="11"/>
      <name val="Arial"/>
      <family val="2"/>
      <charset val="1"/>
    </font>
    <font>
      <b/>
      <sz val="10"/>
      <color rgb="FF4472C4"/>
      <name val="Arial"/>
      <family val="2"/>
      <charset val="1"/>
    </font>
    <font>
      <b/>
      <sz val="10"/>
      <name val="Times New Roman"/>
      <family val="1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4472C4"/>
      <name val="Arial"/>
      <family val="2"/>
      <charset val="1"/>
    </font>
    <font>
      <b/>
      <i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4472C4"/>
      <name val="Arial"/>
      <family val="2"/>
      <charset val="1"/>
    </font>
    <font>
      <b/>
      <u/>
      <sz val="10"/>
      <name val="Arial"/>
      <family val="2"/>
      <charset val="1"/>
    </font>
    <font>
      <u/>
      <sz val="10"/>
      <name val="Arial"/>
      <family val="2"/>
      <charset val="1"/>
    </font>
    <font>
      <sz val="10"/>
      <name val="Arial"/>
      <family val="2"/>
      <charset val="1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002060"/>
        <bgColor rgb="FF003399"/>
      </patternFill>
    </fill>
    <fill>
      <patternFill patternType="solid">
        <fgColor rgb="FF003399"/>
        <bgColor rgb="FF002060"/>
      </patternFill>
    </fill>
    <fill>
      <patternFill patternType="solid">
        <fgColor rgb="FFDAE3F3"/>
        <bgColor rgb="FFF2F2F2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168" fontId="27" fillId="0" borderId="0" applyBorder="0" applyProtection="0"/>
    <xf numFmtId="44" fontId="1" fillId="0" borderId="0" applyBorder="0" applyAlignment="0" applyProtection="0"/>
  </cellStyleXfs>
  <cellXfs count="153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2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Border="1" applyAlignment="1" applyProtection="1">
      <alignment horizontal="center" vertical="center"/>
    </xf>
    <xf numFmtId="0" fontId="3" fillId="0" borderId="0" xfId="0" applyFont="1" applyAlignment="1" applyProtection="1">
      <alignment vertical="top"/>
    </xf>
    <xf numFmtId="166" fontId="9" fillId="2" borderId="9" xfId="0" applyNumberFormat="1" applyFont="1" applyFill="1" applyBorder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0" fontId="4" fillId="0" borderId="0" xfId="0" applyFont="1" applyAlignment="1" applyProtection="1">
      <alignment vertical="top"/>
    </xf>
    <xf numFmtId="164" fontId="10" fillId="2" borderId="9" xfId="0" applyNumberFormat="1" applyFont="1" applyFill="1" applyBorder="1" applyAlignment="1" applyProtection="1">
      <alignment horizontal="center"/>
    </xf>
    <xf numFmtId="164" fontId="10" fillId="0" borderId="0" xfId="0" applyNumberFormat="1" applyFont="1" applyBorder="1" applyAlignment="1" applyProtection="1">
      <alignment horizontal="center"/>
    </xf>
    <xf numFmtId="0" fontId="11" fillId="3" borderId="0" xfId="0" applyFont="1" applyFill="1" applyAlignment="1">
      <alignment horizont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left" indent="1"/>
    </xf>
    <xf numFmtId="1" fontId="3" fillId="0" borderId="9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3" fillId="0" borderId="0" xfId="0" applyFont="1"/>
    <xf numFmtId="0" fontId="13" fillId="0" borderId="0" xfId="0" applyFont="1" applyBorder="1"/>
    <xf numFmtId="0" fontId="2" fillId="5" borderId="7" xfId="0" applyFont="1" applyFill="1" applyBorder="1" applyAlignment="1" applyProtection="1">
      <alignment horizontal="right"/>
    </xf>
    <xf numFmtId="0" fontId="2" fillId="0" borderId="9" xfId="0" applyFont="1" applyBorder="1" applyAlignment="1">
      <alignment horizontal="center" wrapText="1"/>
    </xf>
    <xf numFmtId="0" fontId="15" fillId="5" borderId="0" xfId="0" applyFont="1" applyFill="1" applyBorder="1"/>
    <xf numFmtId="0" fontId="0" fillId="5" borderId="0" xfId="0" applyFont="1" applyFill="1" applyBorder="1"/>
    <xf numFmtId="0" fontId="0" fillId="5" borderId="6" xfId="0" applyFont="1" applyFill="1" applyBorder="1"/>
    <xf numFmtId="0" fontId="16" fillId="0" borderId="9" xfId="0" applyFont="1" applyBorder="1" applyProtection="1"/>
    <xf numFmtId="0" fontId="0" fillId="5" borderId="0" xfId="0" applyFont="1" applyFill="1" applyBorder="1" applyAlignment="1" applyProtection="1">
      <alignment horizontal="right"/>
    </xf>
    <xf numFmtId="0" fontId="0" fillId="5" borderId="6" xfId="0" applyFont="1" applyFill="1" applyBorder="1" applyProtection="1"/>
    <xf numFmtId="0" fontId="2" fillId="0" borderId="9" xfId="0" applyFont="1" applyBorder="1" applyProtection="1"/>
    <xf numFmtId="0" fontId="15" fillId="5" borderId="0" xfId="0" applyFont="1" applyFill="1" applyBorder="1" applyAlignment="1">
      <alignment horizontal="left"/>
    </xf>
    <xf numFmtId="0" fontId="2" fillId="5" borderId="8" xfId="0" applyFont="1" applyFill="1" applyBorder="1" applyAlignment="1" applyProtection="1">
      <alignment horizontal="right"/>
    </xf>
    <xf numFmtId="167" fontId="0" fillId="0" borderId="0" xfId="0" applyNumberFormat="1"/>
    <xf numFmtId="0" fontId="15" fillId="5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 applyProtection="1">
      <alignment horizontal="right"/>
    </xf>
    <xf numFmtId="0" fontId="0" fillId="5" borderId="11" xfId="0" applyFont="1" applyFill="1" applyBorder="1" applyProtection="1"/>
    <xf numFmtId="0" fontId="17" fillId="0" borderId="0" xfId="0" applyFont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2" xfId="0" applyFont="1" applyBorder="1" applyAlignment="1" applyProtection="1">
      <alignment horizontal="center" wrapText="1"/>
    </xf>
    <xf numFmtId="0" fontId="21" fillId="0" borderId="3" xfId="0" applyFont="1" applyBorder="1" applyAlignment="1">
      <alignment horizontal="center" wrapText="1"/>
    </xf>
    <xf numFmtId="0" fontId="0" fillId="0" borderId="0" xfId="0" applyAlignment="1"/>
    <xf numFmtId="0" fontId="2" fillId="0" borderId="10" xfId="0" applyFont="1" applyBorder="1" applyAlignment="1" applyProtection="1">
      <alignment horizontal="center"/>
    </xf>
    <xf numFmtId="164" fontId="16" fillId="0" borderId="10" xfId="0" applyNumberFormat="1" applyFont="1" applyBorder="1" applyAlignment="1" applyProtection="1">
      <alignment horizontal="center"/>
    </xf>
    <xf numFmtId="164" fontId="16" fillId="0" borderId="10" xfId="0" applyNumberFormat="1" applyFont="1" applyBorder="1" applyAlignment="1">
      <alignment horizontal="center"/>
    </xf>
    <xf numFmtId="164" fontId="16" fillId="0" borderId="10" xfId="0" applyNumberFormat="1" applyFont="1" applyBorder="1" applyAlignment="1" applyProtection="1"/>
    <xf numFmtId="0" fontId="2" fillId="0" borderId="7" xfId="0" applyFont="1" applyBorder="1" applyAlignment="1" applyProtection="1">
      <alignment horizontal="center"/>
    </xf>
    <xf numFmtId="164" fontId="16" fillId="0" borderId="7" xfId="0" applyNumberFormat="1" applyFont="1" applyBorder="1" applyAlignment="1" applyProtection="1">
      <alignment horizontal="center"/>
    </xf>
    <xf numFmtId="164" fontId="16" fillId="0" borderId="7" xfId="0" applyNumberFormat="1" applyFont="1" applyBorder="1" applyAlignment="1">
      <alignment horizontal="center"/>
    </xf>
    <xf numFmtId="164" fontId="16" fillId="0" borderId="7" xfId="0" applyNumberFormat="1" applyFont="1" applyBorder="1" applyAlignment="1" applyProtection="1"/>
    <xf numFmtId="164" fontId="0" fillId="0" borderId="8" xfId="0" applyNumberFormat="1" applyFont="1" applyBorder="1" applyProtection="1"/>
    <xf numFmtId="164" fontId="0" fillId="0" borderId="8" xfId="0" applyNumberFormat="1" applyFont="1" applyBorder="1" applyAlignment="1" applyProtection="1">
      <alignment horizontal="center"/>
    </xf>
    <xf numFmtId="167" fontId="0" fillId="0" borderId="8" xfId="0" applyNumberFormat="1" applyFont="1" applyBorder="1" applyProtection="1"/>
    <xf numFmtId="164" fontId="22" fillId="5" borderId="9" xfId="0" applyNumberFormat="1" applyFont="1" applyFill="1" applyBorder="1" applyAlignment="1">
      <alignment wrapText="1"/>
    </xf>
    <xf numFmtId="164" fontId="22" fillId="5" borderId="9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right"/>
    </xf>
    <xf numFmtId="164" fontId="16" fillId="5" borderId="9" xfId="0" applyNumberFormat="1" applyFont="1" applyFill="1" applyBorder="1"/>
    <xf numFmtId="164" fontId="2" fillId="5" borderId="9" xfId="0" applyNumberFormat="1" applyFont="1" applyFill="1" applyBorder="1" applyAlignment="1" applyProtection="1">
      <alignment horizontal="right"/>
    </xf>
    <xf numFmtId="164" fontId="16" fillId="5" borderId="9" xfId="0" applyNumberFormat="1" applyFont="1" applyFill="1" applyBorder="1" applyAlignment="1">
      <alignment horizontal="center"/>
    </xf>
    <xf numFmtId="164" fontId="0" fillId="5" borderId="9" xfId="0" applyNumberFormat="1" applyFont="1" applyFill="1" applyBorder="1"/>
    <xf numFmtId="0" fontId="0" fillId="0" borderId="0" xfId="0" applyFont="1" applyBorder="1"/>
    <xf numFmtId="164" fontId="0" fillId="0" borderId="0" xfId="0" applyNumberFormat="1" applyFont="1"/>
    <xf numFmtId="167" fontId="0" fillId="0" borderId="0" xfId="0" applyNumberFormat="1" applyFont="1"/>
    <xf numFmtId="164" fontId="23" fillId="5" borderId="13" xfId="0" applyNumberFormat="1" applyFont="1" applyFill="1" applyBorder="1" applyAlignment="1" applyProtection="1">
      <alignment horizontal="left"/>
    </xf>
    <xf numFmtId="0" fontId="24" fillId="5" borderId="4" xfId="0" applyFont="1" applyFill="1" applyBorder="1"/>
    <xf numFmtId="0" fontId="24" fillId="5" borderId="0" xfId="0" applyFont="1" applyFill="1" applyBorder="1"/>
    <xf numFmtId="0" fontId="16" fillId="5" borderId="5" xfId="0" applyFont="1" applyFill="1" applyBorder="1"/>
    <xf numFmtId="0" fontId="24" fillId="5" borderId="6" xfId="0" applyFont="1" applyFill="1" applyBorder="1"/>
    <xf numFmtId="165" fontId="0" fillId="0" borderId="0" xfId="1" applyNumberFormat="1" applyFont="1" applyBorder="1" applyAlignment="1" applyProtection="1"/>
    <xf numFmtId="164" fontId="16" fillId="5" borderId="5" xfId="0" applyNumberFormat="1" applyFont="1" applyFill="1" applyBorder="1" applyAlignment="1" applyProtection="1">
      <alignment horizontal="left"/>
    </xf>
    <xf numFmtId="164" fontId="16" fillId="5" borderId="6" xfId="0" applyNumberFormat="1" applyFont="1" applyFill="1" applyBorder="1" applyProtection="1"/>
    <xf numFmtId="164" fontId="16" fillId="5" borderId="0" xfId="0" applyNumberFormat="1" applyFont="1" applyFill="1" applyBorder="1" applyProtection="1"/>
    <xf numFmtId="165" fontId="26" fillId="0" borderId="0" xfId="1" applyNumberFormat="1" applyFont="1" applyBorder="1" applyAlignment="1" applyProtection="1">
      <alignment vertical="center"/>
    </xf>
    <xf numFmtId="0" fontId="0" fillId="0" borderId="0" xfId="0" applyFont="1" applyAlignment="1">
      <alignment horizontal="right"/>
    </xf>
    <xf numFmtId="165" fontId="0" fillId="0" borderId="0" xfId="0" applyNumberFormat="1" applyFont="1" applyBorder="1" applyAlignment="1" applyProtection="1"/>
    <xf numFmtId="164" fontId="16" fillId="5" borderId="5" xfId="0" applyNumberFormat="1" applyFont="1" applyFill="1" applyBorder="1" applyAlignment="1" applyProtection="1">
      <alignment horizontal="left" wrapText="1"/>
    </xf>
    <xf numFmtId="168" fontId="0" fillId="0" borderId="0" xfId="1" applyFont="1" applyBorder="1" applyAlignment="1" applyProtection="1"/>
    <xf numFmtId="0" fontId="0" fillId="0" borderId="0" xfId="0" applyFont="1" applyAlignment="1">
      <alignment horizontal="right" vertical="center"/>
    </xf>
    <xf numFmtId="165" fontId="26" fillId="0" borderId="0" xfId="0" applyNumberFormat="1" applyFont="1" applyBorder="1" applyAlignment="1" applyProtection="1">
      <alignment vertical="center"/>
    </xf>
    <xf numFmtId="164" fontId="16" fillId="5" borderId="11" xfId="0" applyNumberFormat="1" applyFont="1" applyFill="1" applyBorder="1" applyProtection="1"/>
    <xf numFmtId="165" fontId="2" fillId="0" borderId="0" xfId="1" applyNumberFormat="1" applyFont="1" applyBorder="1" applyAlignment="1" applyProtection="1"/>
    <xf numFmtId="0" fontId="2" fillId="0" borderId="0" xfId="0" applyFont="1" applyAlignment="1">
      <alignment horizontal="right"/>
    </xf>
    <xf numFmtId="165" fontId="2" fillId="0" borderId="0" xfId="0" applyNumberFormat="1" applyFont="1" applyBorder="1" applyAlignment="1" applyProtection="1"/>
    <xf numFmtId="164" fontId="16" fillId="5" borderId="14" xfId="0" applyNumberFormat="1" applyFont="1" applyFill="1" applyBorder="1" applyAlignment="1" applyProtection="1">
      <alignment horizontal="left"/>
    </xf>
    <xf numFmtId="164" fontId="16" fillId="5" borderId="12" xfId="0" applyNumberFormat="1" applyFont="1" applyFill="1" applyBorder="1" applyProtection="1"/>
    <xf numFmtId="164" fontId="2" fillId="0" borderId="0" xfId="0" applyNumberFormat="1" applyFont="1" applyAlignment="1" applyProtection="1">
      <alignment horizontal="left"/>
    </xf>
    <xf numFmtId="0" fontId="20" fillId="0" borderId="2" xfId="0" applyFont="1" applyBorder="1" applyAlignment="1" applyProtection="1">
      <alignment wrapText="1"/>
    </xf>
    <xf numFmtId="0" fontId="20" fillId="0" borderId="3" xfId="0" applyFont="1" applyBorder="1" applyAlignment="1" applyProtection="1">
      <alignment wrapText="1"/>
    </xf>
    <xf numFmtId="0" fontId="20" fillId="0" borderId="4" xfId="0" applyFont="1" applyBorder="1" applyAlignment="1" applyProtection="1">
      <alignment wrapText="1"/>
    </xf>
    <xf numFmtId="164" fontId="0" fillId="0" borderId="8" xfId="0" applyNumberFormat="1" applyFont="1" applyBorder="1" applyAlignment="1" applyProtection="1">
      <alignment horizontal="center"/>
      <protection locked="0"/>
    </xf>
    <xf numFmtId="0" fontId="0" fillId="0" borderId="8" xfId="0" applyFont="1" applyBorder="1" applyAlignment="1" applyProtection="1">
      <alignment horizontal="center"/>
      <protection locked="0"/>
    </xf>
    <xf numFmtId="164" fontId="0" fillId="0" borderId="8" xfId="0" applyNumberFormat="1" applyFont="1" applyBorder="1" applyProtection="1">
      <protection locked="0"/>
    </xf>
    <xf numFmtId="0" fontId="28" fillId="0" borderId="10" xfId="0" applyFont="1" applyBorder="1" applyAlignment="1">
      <alignment horizontal="center"/>
    </xf>
    <xf numFmtId="14" fontId="28" fillId="0" borderId="10" xfId="0" applyNumberFormat="1" applyFont="1" applyBorder="1" applyAlignment="1">
      <alignment horizontal="center"/>
    </xf>
    <xf numFmtId="0" fontId="28" fillId="0" borderId="10" xfId="0" applyFont="1" applyBorder="1"/>
    <xf numFmtId="44" fontId="28" fillId="0" borderId="10" xfId="2" applyFont="1" applyBorder="1"/>
    <xf numFmtId="167" fontId="16" fillId="0" borderId="10" xfId="0" applyNumberFormat="1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14" fontId="28" fillId="0" borderId="7" xfId="0" applyNumberFormat="1" applyFont="1" applyBorder="1" applyAlignment="1">
      <alignment horizontal="center"/>
    </xf>
    <xf numFmtId="0" fontId="28" fillId="0" borderId="7" xfId="0" applyFont="1" applyBorder="1"/>
    <xf numFmtId="44" fontId="28" fillId="0" borderId="7" xfId="2" applyFont="1" applyBorder="1"/>
    <xf numFmtId="167" fontId="16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/>
    <xf numFmtId="44" fontId="0" fillId="0" borderId="7" xfId="2" applyFont="1" applyBorder="1"/>
    <xf numFmtId="0" fontId="28" fillId="0" borderId="8" xfId="0" applyFont="1" applyBorder="1" applyAlignment="1">
      <alignment horizontal="center"/>
    </xf>
    <xf numFmtId="14" fontId="28" fillId="0" borderId="8" xfId="0" applyNumberFormat="1" applyFont="1" applyBorder="1" applyAlignment="1">
      <alignment horizontal="center"/>
    </xf>
    <xf numFmtId="0" fontId="28" fillId="0" borderId="8" xfId="0" applyFont="1" applyBorder="1"/>
    <xf numFmtId="44" fontId="28" fillId="0" borderId="8" xfId="2" applyFont="1" applyBorder="1"/>
    <xf numFmtId="167" fontId="16" fillId="0" borderId="8" xfId="0" applyNumberFormat="1" applyFont="1" applyBorder="1" applyAlignment="1">
      <alignment horizontal="center"/>
    </xf>
    <xf numFmtId="164" fontId="16" fillId="0" borderId="8" xfId="0" applyNumberFormat="1" applyFont="1" applyBorder="1" applyAlignment="1" applyProtection="1">
      <alignment horizontal="center"/>
    </xf>
    <xf numFmtId="164" fontId="16" fillId="0" borderId="8" xfId="0" applyNumberFormat="1" applyFont="1" applyBorder="1" applyAlignment="1">
      <alignment horizontal="center"/>
    </xf>
    <xf numFmtId="164" fontId="16" fillId="0" borderId="8" xfId="0" applyNumberFormat="1" applyFont="1" applyBorder="1" applyAlignment="1" applyProtection="1"/>
    <xf numFmtId="167" fontId="16" fillId="0" borderId="4" xfId="0" applyNumberFormat="1" applyFont="1" applyBorder="1" applyAlignment="1">
      <alignment horizontal="center" wrapText="1"/>
    </xf>
    <xf numFmtId="0" fontId="16" fillId="0" borderId="8" xfId="0" applyFont="1" applyBorder="1" applyAlignment="1">
      <alignment horizontal="center"/>
    </xf>
    <xf numFmtId="0" fontId="2" fillId="0" borderId="8" xfId="0" applyFont="1" applyBorder="1" applyAlignment="1" applyProtection="1">
      <alignment horizontal="center"/>
    </xf>
    <xf numFmtId="167" fontId="16" fillId="0" borderId="6" xfId="0" applyNumberFormat="1" applyFont="1" applyBorder="1" applyAlignment="1">
      <alignment horizontal="center"/>
    </xf>
    <xf numFmtId="0" fontId="11" fillId="3" borderId="10" xfId="0" applyFont="1" applyFill="1" applyBorder="1" applyAlignment="1">
      <alignment horizontal="center" wrapText="1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wrapText="1"/>
    </xf>
    <xf numFmtId="0" fontId="3" fillId="0" borderId="9" xfId="0" applyFont="1" applyBorder="1" applyAlignment="1" applyProtection="1">
      <alignment horizontal="center"/>
      <protection locked="0"/>
    </xf>
    <xf numFmtId="164" fontId="3" fillId="0" borderId="9" xfId="0" applyNumberFormat="1" applyFon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center" wrapText="1"/>
      <protection locked="0"/>
    </xf>
    <xf numFmtId="0" fontId="14" fillId="5" borderId="10" xfId="0" applyFont="1" applyFill="1" applyBorder="1" applyAlignment="1" applyProtection="1">
      <alignment horizontal="center"/>
    </xf>
    <xf numFmtId="0" fontId="25" fillId="0" borderId="0" xfId="0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2">
    <dxf>
      <font>
        <name val="Arial"/>
      </font>
    </dxf>
    <dxf>
      <font>
        <name val="Arial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A6A6A6"/>
      <rgbColor rgb="FF002060"/>
      <rgbColor rgb="FF339966"/>
      <rgbColor rgb="FF003300"/>
      <rgbColor rgb="FF333300"/>
      <rgbColor rgb="FF993300"/>
      <rgbColor rgb="FF993366"/>
      <rgbColor rgb="FF00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://Ang&#233;lica/CLIENTES/2015/SURPAPELCORP/8000%20PRUEBAS%20SUSTANTIVAS%20-%20RESULTADOS/8300%20GASTOS/Determinaci&#243;n%20del%20tama&#241;o%20de%20muestras%201%20Gast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uestre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Size &amp; Threshold Calc"/>
      <sheetName val="New Audit Methodology Guidance"/>
      <sheetName val="xref"/>
      <sheetName val="p.2 mma calculations"/>
    </sheetNames>
    <sheetDataSet>
      <sheetData sheetId="0"/>
      <sheetData sheetId="1">
        <row r="6">
          <cell r="B6">
            <v>1</v>
          </cell>
          <cell r="D6">
            <v>1</v>
          </cell>
          <cell r="H6">
            <v>1</v>
          </cell>
        </row>
        <row r="7">
          <cell r="B7">
            <v>2</v>
          </cell>
          <cell r="D7">
            <v>1</v>
          </cell>
          <cell r="H7">
            <v>2</v>
          </cell>
        </row>
        <row r="8">
          <cell r="B8">
            <v>3</v>
          </cell>
          <cell r="D8">
            <v>1</v>
          </cell>
          <cell r="H8">
            <v>3</v>
          </cell>
        </row>
        <row r="9">
          <cell r="B9">
            <v>4</v>
          </cell>
          <cell r="D9">
            <v>1</v>
          </cell>
          <cell r="H9">
            <v>3</v>
          </cell>
        </row>
        <row r="10">
          <cell r="B10">
            <v>5</v>
          </cell>
          <cell r="D10">
            <v>1</v>
          </cell>
          <cell r="H10">
            <v>4</v>
          </cell>
        </row>
        <row r="11">
          <cell r="B11">
            <v>6</v>
          </cell>
          <cell r="D11">
            <v>2</v>
          </cell>
          <cell r="H11">
            <v>5</v>
          </cell>
        </row>
        <row r="12">
          <cell r="B12">
            <v>7</v>
          </cell>
          <cell r="D12">
            <v>2</v>
          </cell>
          <cell r="H12">
            <v>5</v>
          </cell>
        </row>
        <row r="13">
          <cell r="B13">
            <v>8</v>
          </cell>
          <cell r="D13">
            <v>2</v>
          </cell>
          <cell r="H13">
            <v>6</v>
          </cell>
        </row>
        <row r="14">
          <cell r="B14">
            <v>9</v>
          </cell>
          <cell r="D14">
            <v>2</v>
          </cell>
          <cell r="H14">
            <v>7</v>
          </cell>
        </row>
        <row r="15">
          <cell r="B15">
            <v>10</v>
          </cell>
          <cell r="D15">
            <v>2</v>
          </cell>
          <cell r="H15">
            <v>7</v>
          </cell>
          <cell r="L15">
            <v>15</v>
          </cell>
          <cell r="P15">
            <v>30</v>
          </cell>
        </row>
        <row r="16">
          <cell r="B16">
            <v>15</v>
          </cell>
          <cell r="D16">
            <v>3</v>
          </cell>
          <cell r="F16">
            <v>0.2</v>
          </cell>
          <cell r="H16">
            <v>11</v>
          </cell>
          <cell r="J16">
            <v>0.8</v>
          </cell>
          <cell r="L16">
            <v>23</v>
          </cell>
          <cell r="N16">
            <v>1.6</v>
          </cell>
          <cell r="P16">
            <v>45</v>
          </cell>
          <cell r="R16">
            <v>3</v>
          </cell>
        </row>
        <row r="17">
          <cell r="B17">
            <v>20</v>
          </cell>
          <cell r="D17">
            <v>4</v>
          </cell>
          <cell r="F17">
            <v>0.2</v>
          </cell>
          <cell r="H17">
            <v>14</v>
          </cell>
          <cell r="J17">
            <v>0.6</v>
          </cell>
          <cell r="L17">
            <v>30</v>
          </cell>
          <cell r="N17">
            <v>1.4</v>
          </cell>
          <cell r="P17">
            <v>60</v>
          </cell>
          <cell r="R17">
            <v>3</v>
          </cell>
        </row>
        <row r="18">
          <cell r="B18">
            <v>25</v>
          </cell>
          <cell r="D18">
            <v>5</v>
          </cell>
          <cell r="F18">
            <v>0.2</v>
          </cell>
          <cell r="H18">
            <v>18</v>
          </cell>
          <cell r="J18">
            <v>0.8</v>
          </cell>
          <cell r="L18">
            <v>38</v>
          </cell>
          <cell r="N18">
            <v>1.6</v>
          </cell>
          <cell r="P18">
            <v>75</v>
          </cell>
          <cell r="R18">
            <v>3</v>
          </cell>
        </row>
        <row r="19">
          <cell r="B19">
            <v>30</v>
          </cell>
          <cell r="D19">
            <v>6</v>
          </cell>
          <cell r="F19">
            <v>0.2</v>
          </cell>
          <cell r="H19">
            <v>21</v>
          </cell>
          <cell r="J19">
            <v>0.6</v>
          </cell>
          <cell r="L19">
            <v>45</v>
          </cell>
          <cell r="N19">
            <v>1.4</v>
          </cell>
          <cell r="P19">
            <v>75</v>
          </cell>
          <cell r="R19">
            <v>0</v>
          </cell>
        </row>
        <row r="20">
          <cell r="B20">
            <v>40</v>
          </cell>
          <cell r="D20">
            <v>8</v>
          </cell>
          <cell r="F20">
            <v>0.2</v>
          </cell>
          <cell r="H20">
            <v>28</v>
          </cell>
          <cell r="J20">
            <v>0.7</v>
          </cell>
          <cell r="L20">
            <v>60</v>
          </cell>
          <cell r="N20">
            <v>1.5</v>
          </cell>
          <cell r="P20">
            <v>75</v>
          </cell>
          <cell r="R20">
            <v>0</v>
          </cell>
        </row>
        <row r="21">
          <cell r="B21">
            <v>50</v>
          </cell>
          <cell r="D21">
            <v>10</v>
          </cell>
          <cell r="F21">
            <v>0.2</v>
          </cell>
          <cell r="H21">
            <v>35</v>
          </cell>
          <cell r="J21">
            <v>0.7</v>
          </cell>
          <cell r="L21">
            <v>75</v>
          </cell>
          <cell r="N21">
            <v>1.5</v>
          </cell>
          <cell r="P21">
            <v>75</v>
          </cell>
          <cell r="R21">
            <v>0</v>
          </cell>
        </row>
        <row r="22">
          <cell r="B22">
            <v>100</v>
          </cell>
          <cell r="D22">
            <v>20</v>
          </cell>
          <cell r="F22">
            <v>0.2</v>
          </cell>
          <cell r="H22">
            <v>70</v>
          </cell>
          <cell r="J22">
            <v>0.7</v>
          </cell>
          <cell r="L22">
            <v>75</v>
          </cell>
          <cell r="N22">
            <v>0</v>
          </cell>
          <cell r="P22">
            <v>75</v>
          </cell>
          <cell r="R22">
            <v>0</v>
          </cell>
        </row>
        <row r="23">
          <cell r="B23">
            <v>200</v>
          </cell>
          <cell r="D23">
            <v>40</v>
          </cell>
          <cell r="E23" t="str">
            <v>(*)</v>
          </cell>
          <cell r="F23">
            <v>0.2</v>
          </cell>
          <cell r="H23">
            <v>75</v>
          </cell>
          <cell r="J23">
            <v>0.05</v>
          </cell>
          <cell r="N23">
            <v>0</v>
          </cell>
          <cell r="R23">
            <v>0</v>
          </cell>
        </row>
        <row r="36">
          <cell r="D36">
            <v>0.25</v>
          </cell>
          <cell r="H36">
            <v>0.2</v>
          </cell>
          <cell r="L36">
            <v>0.15</v>
          </cell>
          <cell r="P36">
            <v>0.15</v>
          </cell>
        </row>
        <row r="37">
          <cell r="D37">
            <v>0.9</v>
          </cell>
          <cell r="H37">
            <v>0.9</v>
          </cell>
          <cell r="L37">
            <v>0.45</v>
          </cell>
          <cell r="P37">
            <v>0.45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estre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2"/>
  <sheetViews>
    <sheetView showGridLines="0" tabSelected="1" zoomScale="80" zoomScaleNormal="80" workbookViewId="0"/>
  </sheetViews>
  <sheetFormatPr baseColWidth="10" defaultColWidth="9.140625" defaultRowHeight="12.75" x14ac:dyDescent="0.2"/>
  <cols>
    <col min="1" max="1" width="2.85546875" style="1" customWidth="1"/>
    <col min="2" max="2" width="16" style="1" customWidth="1"/>
    <col min="3" max="3" width="15.5703125" style="1" customWidth="1"/>
    <col min="4" max="4" width="15" style="1" customWidth="1"/>
    <col min="5" max="5" width="14.5703125" style="1" customWidth="1"/>
    <col min="6" max="6" width="13.85546875" style="1" customWidth="1"/>
    <col min="7" max="7" width="15.7109375" style="1" customWidth="1"/>
    <col min="8" max="8" width="15.140625" style="1" customWidth="1"/>
    <col min="9" max="10" width="14.42578125" style="1" customWidth="1"/>
    <col min="11" max="11" width="13.7109375" style="1" customWidth="1"/>
    <col min="12" max="1025" width="9.140625" style="1" customWidth="1"/>
  </cols>
  <sheetData>
    <row r="2" spans="1:10" x14ac:dyDescent="0.2">
      <c r="A2" s="2" t="s">
        <v>72</v>
      </c>
    </row>
    <row r="3" spans="1:10" x14ac:dyDescent="0.2">
      <c r="A3" s="2" t="s">
        <v>73</v>
      </c>
    </row>
    <row r="4" spans="1:10" x14ac:dyDescent="0.2">
      <c r="A4" s="2" t="s">
        <v>0</v>
      </c>
    </row>
    <row r="5" spans="1:10" x14ac:dyDescent="0.2">
      <c r="A5" s="3" t="s">
        <v>1</v>
      </c>
      <c r="B5" s="4"/>
      <c r="C5" s="4"/>
      <c r="D5" s="4"/>
      <c r="E5" s="4"/>
      <c r="F5" s="4"/>
    </row>
    <row r="8" spans="1:10" x14ac:dyDescent="0.2">
      <c r="B8" s="5" t="s">
        <v>2</v>
      </c>
      <c r="C8" s="6"/>
      <c r="D8" s="6"/>
      <c r="E8" s="6"/>
      <c r="F8" s="6"/>
      <c r="G8" s="6"/>
      <c r="H8" s="6"/>
      <c r="I8" s="6"/>
      <c r="J8" s="7"/>
    </row>
    <row r="9" spans="1:10" x14ac:dyDescent="0.2">
      <c r="B9" s="8" t="s">
        <v>3</v>
      </c>
      <c r="C9" s="9"/>
      <c r="D9" s="9"/>
      <c r="E9" s="9"/>
      <c r="F9" s="9"/>
      <c r="G9" s="9"/>
      <c r="H9" s="9"/>
      <c r="I9" s="9"/>
      <c r="J9" s="10"/>
    </row>
    <row r="10" spans="1:10" ht="4.5" customHeight="1" x14ac:dyDescent="0.2">
      <c r="B10" s="11"/>
      <c r="C10" s="9"/>
      <c r="D10" s="9"/>
      <c r="E10" s="9"/>
      <c r="F10" s="9"/>
      <c r="G10" s="9"/>
      <c r="H10" s="9"/>
      <c r="I10" s="9"/>
      <c r="J10" s="10"/>
    </row>
    <row r="11" spans="1:10" x14ac:dyDescent="0.2">
      <c r="B11" s="12" t="s">
        <v>4</v>
      </c>
      <c r="C11" s="13"/>
      <c r="D11" s="13"/>
      <c r="E11" s="13"/>
      <c r="F11" s="13"/>
      <c r="G11" s="13"/>
      <c r="H11" s="13"/>
      <c r="I11" s="13"/>
      <c r="J11" s="14"/>
    </row>
    <row r="12" spans="1:10" x14ac:dyDescent="0.2">
      <c r="B12" s="8" t="s">
        <v>5</v>
      </c>
      <c r="C12" s="9"/>
      <c r="D12" s="9"/>
      <c r="E12" s="9"/>
      <c r="F12" s="9"/>
      <c r="G12" s="9"/>
      <c r="H12" s="9"/>
      <c r="I12" s="9"/>
      <c r="J12" s="10"/>
    </row>
    <row r="13" spans="1:10" ht="4.5" customHeight="1" x14ac:dyDescent="0.2">
      <c r="B13" s="11"/>
      <c r="C13" s="9"/>
      <c r="D13" s="9"/>
      <c r="E13" s="9"/>
      <c r="F13" s="9"/>
      <c r="G13" s="9"/>
      <c r="H13" s="9"/>
      <c r="I13" s="9"/>
      <c r="J13" s="10"/>
    </row>
    <row r="14" spans="1:10" ht="12.75" customHeight="1" x14ac:dyDescent="0.2">
      <c r="B14" s="15" t="s">
        <v>6</v>
      </c>
      <c r="C14" s="13"/>
      <c r="D14" s="13"/>
      <c r="E14" s="13"/>
      <c r="F14" s="13"/>
      <c r="G14" s="13"/>
      <c r="H14" s="13"/>
      <c r="I14" s="13"/>
      <c r="J14" s="14"/>
    </row>
    <row r="15" spans="1:10" ht="14.25" customHeight="1" x14ac:dyDescent="0.2">
      <c r="B15" s="8" t="s">
        <v>7</v>
      </c>
      <c r="C15" s="9"/>
      <c r="D15" s="9"/>
      <c r="E15" s="9"/>
      <c r="F15" s="9"/>
      <c r="G15" s="9"/>
      <c r="H15" s="9"/>
      <c r="I15" s="9"/>
      <c r="J15" s="10"/>
    </row>
    <row r="16" spans="1:10" ht="14.25" customHeight="1" x14ac:dyDescent="0.2">
      <c r="B16" s="8" t="s">
        <v>8</v>
      </c>
      <c r="C16" s="9"/>
      <c r="D16" s="9"/>
      <c r="E16" s="9"/>
      <c r="F16" s="9"/>
      <c r="G16" s="9"/>
      <c r="H16" s="9"/>
      <c r="I16" s="9"/>
      <c r="J16" s="10"/>
    </row>
    <row r="17" spans="2:10" ht="14.25" customHeight="1" x14ac:dyDescent="0.2">
      <c r="B17" s="8" t="s">
        <v>9</v>
      </c>
      <c r="C17" s="9"/>
      <c r="D17" s="9"/>
      <c r="E17" s="9"/>
      <c r="F17" s="9"/>
      <c r="G17" s="9"/>
      <c r="H17" s="9"/>
      <c r="I17" s="9"/>
      <c r="J17" s="10"/>
    </row>
    <row r="18" spans="2:10" ht="14.25" customHeight="1" x14ac:dyDescent="0.2">
      <c r="B18" s="8" t="s">
        <v>10</v>
      </c>
      <c r="C18" s="9"/>
      <c r="D18" s="9"/>
      <c r="E18" s="9"/>
      <c r="F18" s="9"/>
      <c r="G18" s="9"/>
      <c r="H18" s="9"/>
      <c r="I18" s="9"/>
      <c r="J18" s="10"/>
    </row>
    <row r="19" spans="2:10" ht="4.5" customHeight="1" x14ac:dyDescent="0.2">
      <c r="B19" s="16"/>
      <c r="C19" s="13"/>
      <c r="D19" s="13"/>
      <c r="E19" s="13"/>
      <c r="F19" s="13"/>
      <c r="G19" s="13"/>
      <c r="H19" s="13"/>
      <c r="I19" s="13"/>
      <c r="J19" s="14"/>
    </row>
    <row r="20" spans="2:10" ht="12.75" customHeight="1" x14ac:dyDescent="0.2">
      <c r="B20" s="146" t="s">
        <v>11</v>
      </c>
      <c r="C20" s="146"/>
      <c r="D20" s="146"/>
      <c r="E20" s="146"/>
      <c r="F20" s="146"/>
      <c r="G20" s="146"/>
      <c r="H20" s="146"/>
      <c r="I20" s="146"/>
      <c r="J20" s="146"/>
    </row>
    <row r="21" spans="2:10" x14ac:dyDescent="0.2">
      <c r="B21" s="8" t="s">
        <v>12</v>
      </c>
      <c r="C21" s="9"/>
      <c r="D21" s="9"/>
      <c r="E21" s="9"/>
      <c r="F21" s="9"/>
      <c r="G21" s="9"/>
      <c r="H21" s="9"/>
      <c r="I21" s="9"/>
      <c r="J21" s="10"/>
    </row>
    <row r="22" spans="2:10" ht="10.5" customHeight="1" x14ac:dyDescent="0.2">
      <c r="B22" s="147"/>
      <c r="C22" s="147"/>
      <c r="D22" s="147"/>
      <c r="E22" s="147"/>
      <c r="F22" s="147"/>
      <c r="G22" s="147"/>
      <c r="H22" s="147"/>
      <c r="I22" s="147"/>
      <c r="J22" s="147"/>
    </row>
  </sheetData>
  <mergeCells count="2">
    <mergeCell ref="B20:J20"/>
    <mergeCell ref="B22:J2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showGridLines="0" zoomScaleNormal="100" workbookViewId="0">
      <selection activeCell="D8" sqref="D8"/>
    </sheetView>
  </sheetViews>
  <sheetFormatPr baseColWidth="10" defaultColWidth="9.140625" defaultRowHeight="12.75" x14ac:dyDescent="0.2"/>
  <cols>
    <col min="1" max="1" width="2.7109375" style="17" customWidth="1"/>
    <col min="2" max="2" width="24.42578125" style="17" customWidth="1"/>
    <col min="3" max="6" width="30.28515625" style="17" customWidth="1"/>
    <col min="7" max="1025" width="9.140625" style="17" customWidth="1"/>
  </cols>
  <sheetData>
    <row r="1" spans="1:6" x14ac:dyDescent="0.2">
      <c r="A1" s="18" t="s">
        <v>13</v>
      </c>
      <c r="F1" s="19" t="s">
        <v>14</v>
      </c>
    </row>
    <row r="2" spans="1:6" ht="15" customHeight="1" x14ac:dyDescent="0.2">
      <c r="A2" s="20" t="s">
        <v>15</v>
      </c>
      <c r="F2" s="21"/>
    </row>
    <row r="3" spans="1:6" x14ac:dyDescent="0.2">
      <c r="E3" s="22"/>
      <c r="F3" s="22"/>
    </row>
    <row r="4" spans="1:6" x14ac:dyDescent="0.2">
      <c r="B4" s="23" t="s">
        <v>16</v>
      </c>
      <c r="D4" s="148"/>
      <c r="E4" s="148"/>
      <c r="F4" s="24"/>
    </row>
    <row r="5" spans="1:6" ht="8.1" customHeight="1" x14ac:dyDescent="0.2">
      <c r="B5" s="23"/>
      <c r="D5" s="25"/>
      <c r="E5" s="26"/>
      <c r="F5" s="26"/>
    </row>
    <row r="6" spans="1:6" x14ac:dyDescent="0.2">
      <c r="B6" s="23" t="s">
        <v>17</v>
      </c>
      <c r="D6" s="149">
        <v>43478</v>
      </c>
      <c r="E6" s="149"/>
      <c r="F6" s="26"/>
    </row>
    <row r="7" spans="1:6" ht="8.1" customHeight="1" x14ac:dyDescent="0.2">
      <c r="B7" s="23"/>
      <c r="D7" s="27"/>
      <c r="E7" s="26"/>
      <c r="F7" s="26"/>
    </row>
    <row r="8" spans="1:6" x14ac:dyDescent="0.2">
      <c r="B8" s="23" t="s">
        <v>18</v>
      </c>
      <c r="D8" s="149">
        <v>3465</v>
      </c>
      <c r="E8" s="149"/>
      <c r="F8" s="26"/>
    </row>
    <row r="9" spans="1:6" ht="8.1" customHeight="1" x14ac:dyDescent="0.2">
      <c r="B9" s="23"/>
      <c r="D9" s="28"/>
      <c r="E9" s="26"/>
      <c r="F9" s="26"/>
    </row>
    <row r="10" spans="1:6" ht="12.75" customHeight="1" x14ac:dyDescent="0.2">
      <c r="B10" s="23" t="s">
        <v>19</v>
      </c>
      <c r="D10" s="150" t="s">
        <v>20</v>
      </c>
      <c r="E10" s="150"/>
      <c r="F10" s="26"/>
    </row>
    <row r="11" spans="1:6" ht="8.1" customHeight="1" x14ac:dyDescent="0.2">
      <c r="B11" s="23"/>
      <c r="D11" s="25"/>
      <c r="E11" s="26"/>
      <c r="F11" s="26"/>
    </row>
    <row r="12" spans="1:6" x14ac:dyDescent="0.2">
      <c r="B12" s="29" t="s">
        <v>21</v>
      </c>
      <c r="D12" s="30">
        <f>ABS(D6)/ABS(D8)</f>
        <v>12.547763347763349</v>
      </c>
      <c r="E12" s="26"/>
      <c r="F12" s="26"/>
    </row>
    <row r="13" spans="1:6" ht="9" customHeight="1" x14ac:dyDescent="0.2">
      <c r="B13" s="29"/>
      <c r="D13" s="31"/>
    </row>
    <row r="14" spans="1:6" x14ac:dyDescent="0.2">
      <c r="B14" s="32" t="s">
        <v>22</v>
      </c>
      <c r="D14" s="33">
        <f>IF($D$12&lt;=10,HLOOKUP($D$10,C18:F27,2,0),IF($D$12&lt;=15,HLOOKUP(D10,C18:F27,3,0),IF($D$12&lt;=20,HLOOKUP($D$10,C18:F27,4,0),IF($D$12&lt;=25,HLOOKUP($D$10,C18:F27,5,0),IF($D$12&lt;=30,HLOOKUP($D$10,C18:F27,6,0),IF($D$12&lt;=40,HLOOKUP($D$10,C18:F27,7,0),IF($D$12&lt;=50,HLOOKUP($D$10,C18:F27,8,0),IF($D$12&lt;=100,HLOOKUP($D$10,C18:F27,9,0),HLOOKUP($D$10,C18:F27,10,0)))))))))</f>
        <v>10</v>
      </c>
    </row>
    <row r="15" spans="1:6" ht="9" customHeight="1" x14ac:dyDescent="0.2">
      <c r="B15" s="32"/>
      <c r="D15" s="34"/>
    </row>
    <row r="16" spans="1:6" x14ac:dyDescent="0.2">
      <c r="B16" s="32" t="s">
        <v>23</v>
      </c>
      <c r="D16" s="33">
        <f>HLOOKUP(D10,C18:F29,12,0)</f>
        <v>3118.5</v>
      </c>
    </row>
    <row r="18" spans="2:6" ht="33.75" x14ac:dyDescent="0.2">
      <c r="B18" s="35" t="s">
        <v>24</v>
      </c>
      <c r="C18" s="36" t="s">
        <v>25</v>
      </c>
      <c r="D18" s="36" t="s">
        <v>20</v>
      </c>
      <c r="E18" s="36" t="s">
        <v>26</v>
      </c>
      <c r="F18" s="36" t="s">
        <v>27</v>
      </c>
    </row>
    <row r="19" spans="2:6" x14ac:dyDescent="0.2">
      <c r="B19" s="37" t="s">
        <v>28</v>
      </c>
      <c r="C19" s="38">
        <f>ROUNDUP(IF(ROUNDUP($D$12,2)&lt;1,1,IF(ROUNDUP($D$12,2)&lt;=10,VLOOKUP(ROUNDUP($D$12,0),'[1]New Audit Methodology Guidance'!$B$6:$D$23,3,0),0)),0)</f>
        <v>0</v>
      </c>
      <c r="D19" s="38">
        <f>ROUNDUP(IF(ROUNDUP($D$12,2)&lt;1,1,IF(ROUNDUP($D$12,2)&lt;=10,VLOOKUP(ROUNDUP($D$12,0),'[1]New Audit Methodology Guidance'!B6:H23,7,0),0)),0)</f>
        <v>0</v>
      </c>
      <c r="E19" s="38">
        <f>ROUNDUP(IF(ROUNDUP($D$12,2)&lt;0.5,1,IF(ROUNDUP($D$12,2)&lt;1,2,IF(ROUNDUP($D$12,2)&lt;1.5,2,IF(ROUNDUP($D$12,2)&lt;2.25,3,IF(ROUNDUP($D$12,2)&lt;2.75,4,IF(ROUNDUP($D$12,2)&lt;3.5,5,IF(ROUNDUP($D$12,2)&lt;4.25,6,IF(ROUNDUP($D$12,2)&lt;4.75,7,IF(ROUNDUP($D$12,2)&lt;5.5,8,IF(ROUNDUP($D$12,2)&lt;6.25,9,IF(ROUNDUP($D$12,2)&lt;6.75,10,IF(ROUNDUP($D$12,2)&lt;7.5,11,IF(ROUNDUP($D$12,2)&lt;8.25,12,IF(ROUNDUP($D$12,2)&lt;8.75,13,IF(ROUNDUP($D$12,2)&lt;9.5,14,IF(ROUNDUP($D$12,2)&lt;=10,15,0)))))))))))))))),0)</f>
        <v>0</v>
      </c>
      <c r="F19" s="38">
        <f>ROUNDUP(IF(ROUNDUP($D$12,2)&lt;(1.5/3),1,IF(ROUNDUP($D$12,2)&lt;(2.5/3),2,IF(ROUNDUP($D$12,2)&lt;(3.5/3),3,IF(ROUNDUP($D$12,2)&lt;(4.5/3),4,IF(ROUNDUP($D$12,2)&lt;(5.5/3),5,IF(ROUNDUP($D$12,2)&lt;(6.5/3),6,IF(ROUNDUP($D$12,2)&lt;(7.5/3),7,IF(ROUNDUP($D$12,2)&lt;(8.5/3),9,IF(ROUNDUP($D$12,2)&lt;(9.5/3),9,IF(ROUNDUP($D$12,2)&lt;(10.5/3),10,IF(ROUNDUP($D$12,2)&lt;(11.5/3),11,IF(ROUNDUP($D$12,2)&lt;(12.5/3),12,IF(ROUNDUP($D$12,2)&lt;(13.5/3),13,IF(ROUNDUP($D$12,2)&lt;(14.5/3),14,IF(ROUNDUP($D$12,2)&lt;(15.5/3),15,IF(ROUNDUP($D$12,2)&lt;(16.5/3),16,IF(ROUNDUP($D$12,2)&lt;(17.5/3),17,IF(ROUNDUP($D$12,2)&lt;(18.5/3),18,IF(ROUNDUP($D$12,2)&lt;(19.5/3),19,IF(ROUNDUP($D$12,2)&lt;(20.5/3),20,IF(ROUNDUP($D$12,2)&lt;(21.5/3),21,IF(ROUNDUP($D$12,2)&lt;(22.5/3),22,IF(ROUNDUP($D$12,2)&lt;(23.5/3),23,IF(ROUNDUP($D$12,2)&lt;(24.5/3),24,IF(ROUNDUP($D$12,2)&lt;(25.5/3),25,IF(ROUNDUP($D$12,2)&lt;(26.5/3),26,IF(ROUNDUP($D$12,2)&lt;(27.5/3),27,IF(ROUNDUP($D$12,2)&lt;(28.5/3),28,IF(ROUNDUP($D$12,2)&lt;(29.5/3),29,IF(ROUNDUP($D$12,2)&lt;=(30/3),30,0)))))))))))))))))))))))))))))),0)</f>
        <v>0</v>
      </c>
    </row>
    <row r="20" spans="2:6" x14ac:dyDescent="0.2">
      <c r="B20" s="37" t="s">
        <v>29</v>
      </c>
      <c r="C20" s="38">
        <f>ROUNDUP(IF($D$12&lt;='[1]New Audit Methodology Guidance'!$B$16,IF('Sample Size &amp; Threshold Calc'!$D$12&gt;'[1]New Audit Methodology Guidance'!B15,(($D$12-'[1]New Audit Methodology Guidance'!$B$15)*'[1]New Audit Methodology Guidance'!$F$16)+'[1]New Audit Methodology Guidance'!$D$15),0),0)</f>
        <v>3</v>
      </c>
      <c r="D20" s="38">
        <f>ROUNDUP(IF($D$12&lt;='[1]New Audit Methodology Guidance'!$B$16,IF('Sample Size &amp; Threshold Calc'!$D$12&gt;'[1]New Audit Methodology Guidance'!$B$15,(($D$12-'[1]New Audit Methodology Guidance'!$B$15)*'[1]New Audit Methodology Guidance'!$J$16)+'[1]New Audit Methodology Guidance'!$H$15),0),0)</f>
        <v>10</v>
      </c>
      <c r="E20" s="38">
        <f>ROUNDUP(IF($D$12&lt;='[1]New Audit Methodology Guidance'!$B$16,IF('Sample Size &amp; Threshold Calc'!$D$12&gt;'[1]New Audit Methodology Guidance'!$B$15,(($D$12-'[1]New Audit Methodology Guidance'!$B$15)*'[1]New Audit Methodology Guidance'!$N$16)+'[1]New Audit Methodology Guidance'!$L$15),0),0)</f>
        <v>20</v>
      </c>
      <c r="F20" s="38">
        <f>ROUNDUP(IF($D$12&lt;='[1]New Audit Methodology Guidance'!$B$16,IF('Sample Size &amp; Threshold Calc'!$D$12&gt;'[1]New Audit Methodology Guidance'!$B$15,(($D$12-'[1]New Audit Methodology Guidance'!$B$15)*'[1]New Audit Methodology Guidance'!$R$16)+'[1]New Audit Methodology Guidance'!$P$15),0),0)</f>
        <v>38</v>
      </c>
    </row>
    <row r="21" spans="2:6" x14ac:dyDescent="0.2">
      <c r="B21" s="37" t="s">
        <v>30</v>
      </c>
      <c r="C21" s="38">
        <f>ROUNDUP(IF($D$12&lt;='[1]New Audit Methodology Guidance'!$B$17,IF('Sample Size &amp; Threshold Calc'!$D$12&gt;'[1]New Audit Methodology Guidance'!$B$16,(($D$12-'[1]New Audit Methodology Guidance'!$B$16)*'[1]New Audit Methodology Guidance'!$F$17)+'[1]New Audit Methodology Guidance'!$D$16),0),0)</f>
        <v>0</v>
      </c>
      <c r="D21" s="38">
        <f>ROUNDUP(IF($D$12&lt;='[1]New Audit Methodology Guidance'!$B$17,IF('Sample Size &amp; Threshold Calc'!$D$12&gt;'[1]New Audit Methodology Guidance'!$B$16,(($D$12-'[1]New Audit Methodology Guidance'!$B$16)*'[1]New Audit Methodology Guidance'!$J$17)+'[1]New Audit Methodology Guidance'!$H$16),0),0)</f>
        <v>0</v>
      </c>
      <c r="E21" s="38">
        <f>ROUNDUP(IF($D$12&lt;='[1]New Audit Methodology Guidance'!$B$17,IF('Sample Size &amp; Threshold Calc'!$D$12&gt;'[1]New Audit Methodology Guidance'!$B$16,(($D$12-'[1]New Audit Methodology Guidance'!$B$16)*'[1]New Audit Methodology Guidance'!$N$17)+'[1]New Audit Methodology Guidance'!$L$16),0),0)</f>
        <v>0</v>
      </c>
      <c r="F21" s="38">
        <f>ROUNDUP(IF($D$12&lt;='[1]New Audit Methodology Guidance'!$B$17,IF('Sample Size &amp; Threshold Calc'!$D$12&gt;'[1]New Audit Methodology Guidance'!$B$16,(($D$12-'[1]New Audit Methodology Guidance'!$B$16)*'[1]New Audit Methodology Guidance'!$R$17)+'[1]New Audit Methodology Guidance'!$P$16),0),0)</f>
        <v>0</v>
      </c>
    </row>
    <row r="22" spans="2:6" x14ac:dyDescent="0.2">
      <c r="B22" s="37" t="s">
        <v>31</v>
      </c>
      <c r="C22" s="38">
        <f>ROUNDUP(IF($D$12&lt;='[1]New Audit Methodology Guidance'!B18,IF('Sample Size &amp; Threshold Calc'!$D$12&gt;'[1]New Audit Methodology Guidance'!B17,(($D$12-'[1]New Audit Methodology Guidance'!B17)*'[1]New Audit Methodology Guidance'!F18)+'[1]New Audit Methodology Guidance'!D17),0),0)</f>
        <v>0</v>
      </c>
      <c r="D22" s="38">
        <f>ROUNDUP(IF($D$12&lt;='[1]New Audit Methodology Guidance'!$B$18,IF('Sample Size &amp; Threshold Calc'!$D$12&gt;'[1]New Audit Methodology Guidance'!$B$17,(($D$12-'[1]New Audit Methodology Guidance'!$B$17)*'[1]New Audit Methodology Guidance'!$J$18)+'[1]New Audit Methodology Guidance'!$H$17),0),0)</f>
        <v>0</v>
      </c>
      <c r="E22" s="38">
        <f>ROUNDUP(IF($D$12&lt;='[1]New Audit Methodology Guidance'!$B$18,IF('Sample Size &amp; Threshold Calc'!$D$12&gt;'[1]New Audit Methodology Guidance'!$B$17,(($D$12-'[1]New Audit Methodology Guidance'!$B$17)*'[1]New Audit Methodology Guidance'!$N$18)+'[1]New Audit Methodology Guidance'!$L$17),0),0)</f>
        <v>0</v>
      </c>
      <c r="F22" s="38">
        <f>ROUNDUP(IF($D$12&lt;='[1]New Audit Methodology Guidance'!$B$18,IF('Sample Size &amp; Threshold Calc'!$D$12&gt;'[1]New Audit Methodology Guidance'!$B$17,(($D$12-'[1]New Audit Methodology Guidance'!$B$17)*'[1]New Audit Methodology Guidance'!$R$18)+'[1]New Audit Methodology Guidance'!$P$17),0),0)</f>
        <v>0</v>
      </c>
    </row>
    <row r="23" spans="2:6" x14ac:dyDescent="0.2">
      <c r="B23" s="37" t="s">
        <v>32</v>
      </c>
      <c r="C23" s="38">
        <f>ROUNDUP(IF($D$12&lt;='[1]New Audit Methodology Guidance'!B19,IF('Sample Size &amp; Threshold Calc'!$D$12&gt;'[1]New Audit Methodology Guidance'!B18,(($D$12-'[1]New Audit Methodology Guidance'!B18)*'[1]New Audit Methodology Guidance'!F19)+'[1]New Audit Methodology Guidance'!D18),0),0)</f>
        <v>0</v>
      </c>
      <c r="D23" s="38">
        <f>ROUNDUP(IF($D$12&lt;='[1]New Audit Methodology Guidance'!$B$19,IF('Sample Size &amp; Threshold Calc'!$D$12&gt;'[1]New Audit Methodology Guidance'!$B$18,(($D$12-'[1]New Audit Methodology Guidance'!$B$18)*'[1]New Audit Methodology Guidance'!$J$19)+'[1]New Audit Methodology Guidance'!$H$18),0),0)</f>
        <v>0</v>
      </c>
      <c r="E23" s="38">
        <f>ROUNDUP(IF($D$12&lt;='[1]New Audit Methodology Guidance'!$B$19,IF('Sample Size &amp; Threshold Calc'!$D$12&gt;'[1]New Audit Methodology Guidance'!$B$18,(($D$12-'[1]New Audit Methodology Guidance'!$B$18)*'[1]New Audit Methodology Guidance'!$N$19)+'[1]New Audit Methodology Guidance'!$L$18),0),0)</f>
        <v>0</v>
      </c>
      <c r="F23" s="38">
        <f>ROUNDUP(IF($D$12&lt;='[1]New Audit Methodology Guidance'!$B$19,IF('Sample Size &amp; Threshold Calc'!$D$12&gt;'[1]New Audit Methodology Guidance'!$B$18,(($D$12-'[1]New Audit Methodology Guidance'!$B$18)*'[1]New Audit Methodology Guidance'!$R$19)+'[1]New Audit Methodology Guidance'!$P$18),0),0)</f>
        <v>0</v>
      </c>
    </row>
    <row r="24" spans="2:6" x14ac:dyDescent="0.2">
      <c r="B24" s="37" t="s">
        <v>33</v>
      </c>
      <c r="C24" s="38">
        <f>ROUNDUP(IF($D$12&lt;='[1]New Audit Methodology Guidance'!B20,IF('Sample Size &amp; Threshold Calc'!$D$12&gt;'[1]New Audit Methodology Guidance'!B19,(($D$12-'[1]New Audit Methodology Guidance'!B19)*'[1]New Audit Methodology Guidance'!F20)+'[1]New Audit Methodology Guidance'!D19),0),0)</f>
        <v>0</v>
      </c>
      <c r="D24" s="38">
        <f>ROUNDUP(IF($D$12&lt;='[1]New Audit Methodology Guidance'!$B$20,IF('Sample Size &amp; Threshold Calc'!$D$12&gt;'[1]New Audit Methodology Guidance'!$B$19,(($D$12-'[1]New Audit Methodology Guidance'!$B$19)*'[1]New Audit Methodology Guidance'!$J$20)+'[1]New Audit Methodology Guidance'!$H$19),0),0)</f>
        <v>0</v>
      </c>
      <c r="E24" s="38">
        <f>ROUNDUP(IF($D$12&lt;='[1]New Audit Methodology Guidance'!$B$20,IF('Sample Size &amp; Threshold Calc'!$D$12&gt;'[1]New Audit Methodology Guidance'!$B$19,(($D$12-'[1]New Audit Methodology Guidance'!$B$19)*'[1]New Audit Methodology Guidance'!$N$20)+'[1]New Audit Methodology Guidance'!$L$19),0),0)</f>
        <v>0</v>
      </c>
      <c r="F24" s="38">
        <f>ROUNDUP(IF($D$12&lt;='[1]New Audit Methodology Guidance'!$B$20,IF('Sample Size &amp; Threshold Calc'!$D$12&gt;'[1]New Audit Methodology Guidance'!$B$19,(($D$12-'[1]New Audit Methodology Guidance'!$B$19)*'[1]New Audit Methodology Guidance'!$R$20)+'[1]New Audit Methodology Guidance'!$P$19),0),0)</f>
        <v>0</v>
      </c>
    </row>
    <row r="25" spans="2:6" x14ac:dyDescent="0.2">
      <c r="B25" s="37" t="s">
        <v>34</v>
      </c>
      <c r="C25" s="38">
        <f>ROUNDUP(IF($D$12&lt;='[1]New Audit Methodology Guidance'!B21,IF('Sample Size &amp; Threshold Calc'!$D$12&gt;'[1]New Audit Methodology Guidance'!B20,(($D$12-'[1]New Audit Methodology Guidance'!B20)*'[1]New Audit Methodology Guidance'!F21)+'[1]New Audit Methodology Guidance'!D20),0),0)</f>
        <v>0</v>
      </c>
      <c r="D25" s="38">
        <f>ROUNDUP(IF($D$12&lt;='[1]New Audit Methodology Guidance'!$B$21,IF('Sample Size &amp; Threshold Calc'!$D$12&gt;'[1]New Audit Methodology Guidance'!$B$20,(($D$12-'[1]New Audit Methodology Guidance'!$B$20)*'[1]New Audit Methodology Guidance'!$J$21)+'[1]New Audit Methodology Guidance'!$H$20),0),0)</f>
        <v>0</v>
      </c>
      <c r="E25" s="38">
        <f>ROUNDUP(IF($D$12&lt;='[1]New Audit Methodology Guidance'!$B$21,IF('Sample Size &amp; Threshold Calc'!$D$12&gt;'[1]New Audit Methodology Guidance'!$B$20,(($D$12-'[1]New Audit Methodology Guidance'!$B$20)*'[1]New Audit Methodology Guidance'!$N$21)+'[1]New Audit Methodology Guidance'!$L$20),0),0)</f>
        <v>0</v>
      </c>
      <c r="F25" s="38">
        <f>ROUNDUP(IF($D$12&lt;='[1]New Audit Methodology Guidance'!$B$21,IF('Sample Size &amp; Threshold Calc'!$D$12&gt;'[1]New Audit Methodology Guidance'!$B$20,(($D$12-'[1]New Audit Methodology Guidance'!$B$20)*'[1]New Audit Methodology Guidance'!$R$21)+'[1]New Audit Methodology Guidance'!$P$20),0),0)</f>
        <v>0</v>
      </c>
    </row>
    <row r="26" spans="2:6" x14ac:dyDescent="0.2">
      <c r="B26" s="37" t="s">
        <v>35</v>
      </c>
      <c r="C26" s="38">
        <f>ROUNDUP(IF($D$12&lt;='[1]New Audit Methodology Guidance'!B22,IF('Sample Size &amp; Threshold Calc'!$D$12&gt;'[1]New Audit Methodology Guidance'!B21,(($D$12-'[1]New Audit Methodology Guidance'!B21)*'[1]New Audit Methodology Guidance'!F22)+'[1]New Audit Methodology Guidance'!D21),0),0)</f>
        <v>0</v>
      </c>
      <c r="D26" s="38">
        <f>ROUNDUP(IF($D$12&lt;='[1]New Audit Methodology Guidance'!$B$22,IF('Sample Size &amp; Threshold Calc'!$D$12&gt;'[1]New Audit Methodology Guidance'!$B$21,(($D$12-'[1]New Audit Methodology Guidance'!$B$21)*'[1]New Audit Methodology Guidance'!$J$22)+'[1]New Audit Methodology Guidance'!$H$21),0),0)</f>
        <v>0</v>
      </c>
      <c r="E26" s="38">
        <f>ROUNDUP(IF($D$12&lt;='[1]New Audit Methodology Guidance'!$B$22,IF('Sample Size &amp; Threshold Calc'!$D$12&gt;'[1]New Audit Methodology Guidance'!$B$21,(($D$12-'[1]New Audit Methodology Guidance'!$B$21)*'[1]New Audit Methodology Guidance'!$N$22)+'[1]New Audit Methodology Guidance'!$L$21),0),0)</f>
        <v>0</v>
      </c>
      <c r="F26" s="38">
        <f>ROUNDUP(IF($D$12&lt;='[1]New Audit Methodology Guidance'!$B$22,IF('Sample Size &amp; Threshold Calc'!$D$12&gt;'[1]New Audit Methodology Guidance'!$B$21,(($D$12-'[1]New Audit Methodology Guidance'!$B$21)*'[1]New Audit Methodology Guidance'!$R$22)+'[1]New Audit Methodology Guidance'!$P$21),0),0)</f>
        <v>0</v>
      </c>
    </row>
    <row r="27" spans="2:6" x14ac:dyDescent="0.2">
      <c r="B27" s="37" t="s">
        <v>36</v>
      </c>
      <c r="C27" s="38">
        <f>ROUNDUP(IF($D$12&lt;='[1]New Audit Methodology Guidance'!$B$23,IF('Sample Size &amp; Threshold Calc'!$D$12&gt;'[1]New Audit Methodology Guidance'!B22,(($D$12-'[1]New Audit Methodology Guidance'!B22)*'[1]New Audit Methodology Guidance'!F23)+'[1]New Audit Methodology Guidance'!D22),40),0)</f>
        <v>0</v>
      </c>
      <c r="D27" s="38">
        <f>ROUNDUP(IF($D$12&lt;='[1]New Audit Methodology Guidance'!$B$23,IF('Sample Size &amp; Threshold Calc'!$D$12&gt;'[1]New Audit Methodology Guidance'!$B$22,(($D$12-'[1]New Audit Methodology Guidance'!$B$22)*'[1]New Audit Methodology Guidance'!$J$23)+'[1]New Audit Methodology Guidance'!H22),75),0)</f>
        <v>0</v>
      </c>
      <c r="E27" s="38">
        <f>ROUNDUP(IF($D$12&lt;='[1]New Audit Methodology Guidance'!$B$23,IF('Sample Size &amp; Threshold Calc'!$D$12&gt;'[1]New Audit Methodology Guidance'!$B$22,(($D$12-'[1]New Audit Methodology Guidance'!$B$22)*'[1]New Audit Methodology Guidance'!$N$23)+'[1]New Audit Methodology Guidance'!L22),75),0)</f>
        <v>0</v>
      </c>
      <c r="F27" s="38">
        <f>ROUNDUP(IF($D$12&lt;='[1]New Audit Methodology Guidance'!$B$23,IF('Sample Size &amp; Threshold Calc'!$D$12&gt;'[1]New Audit Methodology Guidance'!$B$22,(($D$12-'[1]New Audit Methodology Guidance'!$B$22)*'[1]New Audit Methodology Guidance'!$R$23)+'[1]New Audit Methodology Guidance'!P22),75),0)</f>
        <v>0</v>
      </c>
    </row>
    <row r="29" spans="2:6" x14ac:dyDescent="0.2">
      <c r="B29" s="37" t="s">
        <v>37</v>
      </c>
      <c r="C29" s="39">
        <f>ABS(IF((ABS($D$6)*'[1]New Audit Methodology Guidance'!D36)&lt;('[1]New Audit Methodology Guidance'!D37*ABS($D$8)),ABS($D$6)*'[1]New Audit Methodology Guidance'!D36,'[1]New Audit Methodology Guidance'!D37*ABS($D$8)))</f>
        <v>3118.5</v>
      </c>
      <c r="D29" s="39">
        <f>ABS(IF((ABS($D$6)*'[1]New Audit Methodology Guidance'!H36)&lt;('[1]New Audit Methodology Guidance'!H37*ABS($D$8)),ABS($D$6)*'[1]New Audit Methodology Guidance'!H36,'[1]New Audit Methodology Guidance'!H37*ABS($D$8)))</f>
        <v>3118.5</v>
      </c>
      <c r="E29" s="39">
        <f>ABS(IF((ABS($D$6)*'[1]New Audit Methodology Guidance'!L36)&lt;('[1]New Audit Methodology Guidance'!L37*ABS($D$8)),ABS($D$6)*'[1]New Audit Methodology Guidance'!L36,'[1]New Audit Methodology Guidance'!L37*ABS($D$8)))</f>
        <v>1559.25</v>
      </c>
      <c r="F29" s="39">
        <f>ABS(IF((ABS($D$6)*'[1]New Audit Methodology Guidance'!P36)&lt;('[1]New Audit Methodology Guidance'!P37*ABS($D$8)),ABS($D$6)*'[1]New Audit Methodology Guidance'!P36,'[1]New Audit Methodology Guidance'!P37*ABS($D$8)))</f>
        <v>1559.25</v>
      </c>
    </row>
  </sheetData>
  <sheetProtection password="81DA" sheet="1" objects="1" scenarios="1" selectLockedCells="1"/>
  <mergeCells count="4">
    <mergeCell ref="D4:E4"/>
    <mergeCell ref="D6:E6"/>
    <mergeCell ref="D8:E8"/>
    <mergeCell ref="D10:E10"/>
  </mergeCells>
  <conditionalFormatting sqref="C19:F27 C29:F29">
    <cfRule type="cellIs" dxfId="1" priority="2" operator="greaterThan">
      <formula>0</formula>
    </cfRule>
  </conditionalFormatting>
  <dataValidations count="2">
    <dataValidation operator="notEqual" allowBlank="1" showInputMessage="1" errorTitle="Warning" error="You must enter a number." sqref="D6">
      <formula1>0</formula1>
      <formula2>0</formula2>
    </dataValidation>
    <dataValidation type="list" allowBlank="1" showInputMessage="1" showErrorMessage="1" sqref="D10">
      <formula1>#REF!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showGridLines="0" topLeftCell="A33" zoomScale="95" zoomScaleNormal="95" workbookViewId="0">
      <selection activeCell="B69" sqref="B33:F69"/>
    </sheetView>
  </sheetViews>
  <sheetFormatPr baseColWidth="10" defaultColWidth="9.140625" defaultRowHeight="12.75" x14ac:dyDescent="0.2"/>
  <cols>
    <col min="1" max="1" width="2.7109375" style="17" customWidth="1"/>
    <col min="2" max="2" width="24.42578125" style="17" customWidth="1"/>
    <col min="3" max="6" width="30.28515625" style="17" customWidth="1"/>
    <col min="7" max="1025" width="9.140625" style="17" customWidth="1"/>
  </cols>
  <sheetData>
    <row r="1" spans="1:6" x14ac:dyDescent="0.2">
      <c r="A1" s="18" t="s">
        <v>13</v>
      </c>
      <c r="F1" s="19" t="s">
        <v>14</v>
      </c>
    </row>
    <row r="2" spans="1:6" ht="15" customHeight="1" x14ac:dyDescent="0.2">
      <c r="A2" s="20" t="s">
        <v>15</v>
      </c>
      <c r="F2" s="21"/>
    </row>
    <row r="3" spans="1:6" x14ac:dyDescent="0.2">
      <c r="E3" s="22"/>
      <c r="F3" s="22"/>
    </row>
    <row r="4" spans="1:6" x14ac:dyDescent="0.2">
      <c r="B4" s="23" t="s">
        <v>16</v>
      </c>
      <c r="D4" s="148"/>
      <c r="E4" s="148"/>
      <c r="F4" s="24"/>
    </row>
    <row r="5" spans="1:6" ht="8.1" customHeight="1" x14ac:dyDescent="0.2">
      <c r="B5" s="23"/>
      <c r="D5" s="25"/>
      <c r="E5" s="26"/>
      <c r="F5" s="26"/>
    </row>
    <row r="6" spans="1:6" x14ac:dyDescent="0.2">
      <c r="B6" s="23" t="s">
        <v>17</v>
      </c>
      <c r="D6" s="149">
        <v>226545</v>
      </c>
      <c r="E6" s="149"/>
      <c r="F6" s="26"/>
    </row>
    <row r="7" spans="1:6" ht="8.1" customHeight="1" x14ac:dyDescent="0.2">
      <c r="B7" s="23"/>
      <c r="D7" s="27"/>
      <c r="E7" s="26"/>
      <c r="F7" s="26"/>
    </row>
    <row r="8" spans="1:6" x14ac:dyDescent="0.2">
      <c r="B8" s="23" t="s">
        <v>18</v>
      </c>
      <c r="D8" s="149">
        <v>13500</v>
      </c>
      <c r="E8" s="149"/>
      <c r="F8" s="26"/>
    </row>
    <row r="9" spans="1:6" ht="8.1" customHeight="1" x14ac:dyDescent="0.2">
      <c r="B9" s="23"/>
      <c r="D9" s="28"/>
      <c r="E9" s="26"/>
      <c r="F9" s="26"/>
    </row>
    <row r="10" spans="1:6" ht="12.75" customHeight="1" x14ac:dyDescent="0.2">
      <c r="B10" s="23" t="s">
        <v>19</v>
      </c>
      <c r="D10" s="150" t="s">
        <v>26</v>
      </c>
      <c r="E10" s="150"/>
      <c r="F10" s="26"/>
    </row>
    <row r="11" spans="1:6" ht="8.1" customHeight="1" x14ac:dyDescent="0.2">
      <c r="B11" s="23"/>
      <c r="D11" s="25"/>
      <c r="E11" s="26"/>
      <c r="F11" s="26"/>
    </row>
    <row r="12" spans="1:6" x14ac:dyDescent="0.2">
      <c r="B12" s="29" t="s">
        <v>21</v>
      </c>
      <c r="D12" s="30">
        <f>ABS(D6)/ABS(D8)</f>
        <v>16.781111111111112</v>
      </c>
      <c r="E12" s="26"/>
      <c r="F12" s="26"/>
    </row>
    <row r="13" spans="1:6" ht="9" customHeight="1" x14ac:dyDescent="0.2">
      <c r="B13" s="29"/>
      <c r="D13" s="31"/>
    </row>
    <row r="14" spans="1:6" x14ac:dyDescent="0.2">
      <c r="B14" s="32" t="s">
        <v>22</v>
      </c>
      <c r="D14" s="33">
        <v>6</v>
      </c>
    </row>
    <row r="15" spans="1:6" ht="9" customHeight="1" x14ac:dyDescent="0.2">
      <c r="B15" s="32"/>
      <c r="D15" s="34"/>
    </row>
    <row r="16" spans="1:6" x14ac:dyDescent="0.2">
      <c r="B16" s="32" t="s">
        <v>23</v>
      </c>
      <c r="D16" s="33">
        <f>HLOOKUP(D10,C18:F29,12,0)</f>
        <v>6075</v>
      </c>
    </row>
    <row r="18" spans="2:6" ht="33.75" x14ac:dyDescent="0.2">
      <c r="B18" s="35" t="s">
        <v>24</v>
      </c>
      <c r="C18" s="36" t="s">
        <v>25</v>
      </c>
      <c r="D18" s="36" t="s">
        <v>20</v>
      </c>
      <c r="E18" s="36" t="s">
        <v>26</v>
      </c>
      <c r="F18" s="36" t="s">
        <v>27</v>
      </c>
    </row>
    <row r="19" spans="2:6" x14ac:dyDescent="0.2">
      <c r="B19" s="37" t="s">
        <v>28</v>
      </c>
      <c r="C19" s="38">
        <f>ROUNDUP(IF(ROUNDUP($D$12,2)&lt;1,1,IF(ROUNDUP($D$12,2)&lt;=10,VLOOKUP(ROUNDUP($D$12,0),'[1]New Audit Methodology Guidance'!$B$6:$D$23,3,0),0)),0)</f>
        <v>0</v>
      </c>
      <c r="D19" s="38">
        <f>ROUNDUP(IF(ROUNDUP($D$12,2)&lt;1,1,IF(ROUNDUP($D$12,2)&lt;=10,VLOOKUP(ROUNDUP($D$12,0),'[1]New Audit Methodology Guidance'!B6:H23,7,0),0)),0)</f>
        <v>0</v>
      </c>
      <c r="E19" s="38">
        <f>ROUNDUP(IF(ROUNDUP($D$12,2)&lt;0.5,1,IF(ROUNDUP($D$12,2)&lt;1,2,IF(ROUNDUP($D$12,2)&lt;1.5,2,IF(ROUNDUP($D$12,2)&lt;2.25,3,IF(ROUNDUP($D$12,2)&lt;2.75,4,IF(ROUNDUP($D$12,2)&lt;3.5,5,IF(ROUNDUP($D$12,2)&lt;4.25,6,IF(ROUNDUP($D$12,2)&lt;4.75,7,IF(ROUNDUP($D$12,2)&lt;5.5,8,IF(ROUNDUP($D$12,2)&lt;6.25,9,IF(ROUNDUP($D$12,2)&lt;6.75,10,IF(ROUNDUP($D$12,2)&lt;7.5,11,IF(ROUNDUP($D$12,2)&lt;8.25,12,IF(ROUNDUP($D$12,2)&lt;8.75,13,IF(ROUNDUP($D$12,2)&lt;9.5,14,IF(ROUNDUP($D$12,2)&lt;=10,15,0)))))))))))))))),0)</f>
        <v>0</v>
      </c>
      <c r="F19" s="38">
        <f>ROUNDUP(IF(ROUNDUP($D$12,2)&lt;(1.5/3),1,IF(ROUNDUP($D$12,2)&lt;(2.5/3),2,IF(ROUNDUP($D$12,2)&lt;(3.5/3),3,IF(ROUNDUP($D$12,2)&lt;(4.5/3),4,IF(ROUNDUP($D$12,2)&lt;(5.5/3),5,IF(ROUNDUP($D$12,2)&lt;(6.5/3),6,IF(ROUNDUP($D$12,2)&lt;(7.5/3),7,IF(ROUNDUP($D$12,2)&lt;(8.5/3),9,IF(ROUNDUP($D$12,2)&lt;(9.5/3),9,IF(ROUNDUP($D$12,2)&lt;(10.5/3),10,IF(ROUNDUP($D$12,2)&lt;(11.5/3),11,IF(ROUNDUP($D$12,2)&lt;(12.5/3),12,IF(ROUNDUP($D$12,2)&lt;(13.5/3),13,IF(ROUNDUP($D$12,2)&lt;(14.5/3),14,IF(ROUNDUP($D$12,2)&lt;(15.5/3),15,IF(ROUNDUP($D$12,2)&lt;(16.5/3),16,IF(ROUNDUP($D$12,2)&lt;(17.5/3),17,IF(ROUNDUP($D$12,2)&lt;(18.5/3),18,IF(ROUNDUP($D$12,2)&lt;(19.5/3),19,IF(ROUNDUP($D$12,2)&lt;(20.5/3),20,IF(ROUNDUP($D$12,2)&lt;(21.5/3),21,IF(ROUNDUP($D$12,2)&lt;(22.5/3),22,IF(ROUNDUP($D$12,2)&lt;(23.5/3),23,IF(ROUNDUP($D$12,2)&lt;(24.5/3),24,IF(ROUNDUP($D$12,2)&lt;(25.5/3),25,IF(ROUNDUP($D$12,2)&lt;(26.5/3),26,IF(ROUNDUP($D$12,2)&lt;(27.5/3),27,IF(ROUNDUP($D$12,2)&lt;(28.5/3),28,IF(ROUNDUP($D$12,2)&lt;(29.5/3),29,IF(ROUNDUP($D$12,2)&lt;=(30/3),30,0)))))))))))))))))))))))))))))),0)</f>
        <v>0</v>
      </c>
    </row>
    <row r="20" spans="2:6" x14ac:dyDescent="0.2">
      <c r="B20" s="37" t="s">
        <v>29</v>
      </c>
      <c r="C20" s="38">
        <f>ROUNDUP(IF($D$12&lt;='[1]New Audit Methodology Guidance'!$B$16,IF('Sample Size &amp; Threshold Calc'!$D$12&gt;'[1]New Audit Methodology Guidance'!B15,(($D$12-'[1]New Audit Methodology Guidance'!$B$15)*'[1]New Audit Methodology Guidance'!$F$16)+'[1]New Audit Methodology Guidance'!$D$15),0),0)</f>
        <v>0</v>
      </c>
      <c r="D20" s="38">
        <f>ROUNDUP(IF($D$12&lt;='[1]New Audit Methodology Guidance'!$B$16,IF('Sample Size &amp; Threshold Calc'!$D$12&gt;'[1]New Audit Methodology Guidance'!$B$15,(($D$12-'[1]New Audit Methodology Guidance'!$B$15)*'[1]New Audit Methodology Guidance'!$J$16)+'[1]New Audit Methodology Guidance'!$H$15),0),0)</f>
        <v>0</v>
      </c>
      <c r="E20" s="38">
        <f>ROUNDUP(IF($D$12&lt;='[1]New Audit Methodology Guidance'!$B$16,IF('Sample Size &amp; Threshold Calc'!$D$12&gt;'[1]New Audit Methodology Guidance'!$B$15,(($D$12-'[1]New Audit Methodology Guidance'!$B$15)*'[1]New Audit Methodology Guidance'!$N$16)+'[1]New Audit Methodology Guidance'!$L$15),0),0)</f>
        <v>0</v>
      </c>
      <c r="F20" s="38">
        <f>ROUNDUP(IF($D$12&lt;='[1]New Audit Methodology Guidance'!$B$16,IF('Sample Size &amp; Threshold Calc'!$D$12&gt;'[1]New Audit Methodology Guidance'!$B$15,(($D$12-'[1]New Audit Methodology Guidance'!$B$15)*'[1]New Audit Methodology Guidance'!$R$16)+'[1]New Audit Methodology Guidance'!$P$15),0),0)</f>
        <v>0</v>
      </c>
    </row>
    <row r="21" spans="2:6" x14ac:dyDescent="0.2">
      <c r="B21" s="37" t="s">
        <v>30</v>
      </c>
      <c r="C21" s="38">
        <f>ROUNDUP(IF($D$12&lt;='[1]New Audit Methodology Guidance'!$B$17,IF('Sample Size &amp; Threshold Calc'!$D$12&gt;'[1]New Audit Methodology Guidance'!$B$16,(($D$12-'[1]New Audit Methodology Guidance'!$B$16)*'[1]New Audit Methodology Guidance'!$F$17)+'[1]New Audit Methodology Guidance'!$D$16),0),0)</f>
        <v>0</v>
      </c>
      <c r="D21" s="38">
        <f>ROUNDUP(IF($D$12&lt;='[1]New Audit Methodology Guidance'!$B$17,IF('Sample Size &amp; Threshold Calc'!$D$12&gt;'[1]New Audit Methodology Guidance'!$B$16,(($D$12-'[1]New Audit Methodology Guidance'!$B$16)*'[1]New Audit Methodology Guidance'!$J$17)+'[1]New Audit Methodology Guidance'!$H$16),0),0)</f>
        <v>0</v>
      </c>
      <c r="E21" s="38">
        <f>ROUNDUP(IF($D$12&lt;='[1]New Audit Methodology Guidance'!$B$17,IF('Sample Size &amp; Threshold Calc'!$D$12&gt;'[1]New Audit Methodology Guidance'!$B$16,(($D$12-'[1]New Audit Methodology Guidance'!$B$16)*'[1]New Audit Methodology Guidance'!$N$17)+'[1]New Audit Methodology Guidance'!$L$16),0),0)</f>
        <v>0</v>
      </c>
      <c r="F21" s="38">
        <f>ROUNDUP(IF($D$12&lt;='[1]New Audit Methodology Guidance'!$B$17,IF('Sample Size &amp; Threshold Calc'!$D$12&gt;'[1]New Audit Methodology Guidance'!$B$16,(($D$12-'[1]New Audit Methodology Guidance'!$B$16)*'[1]New Audit Methodology Guidance'!$R$17)+'[1]New Audit Methodology Guidance'!$P$16),0),0)</f>
        <v>0</v>
      </c>
    </row>
    <row r="22" spans="2:6" x14ac:dyDescent="0.2">
      <c r="B22" s="37" t="s">
        <v>31</v>
      </c>
      <c r="C22" s="38">
        <f>ROUNDUP(IF($D$12&lt;='[1]New Audit Methodology Guidance'!B18,IF('Sample Size &amp; Threshold Calc'!$D$12&gt;'[1]New Audit Methodology Guidance'!B17,(($D$12-'[1]New Audit Methodology Guidance'!B17)*'[1]New Audit Methodology Guidance'!F18)+'[1]New Audit Methodology Guidance'!D17),0),0)</f>
        <v>0</v>
      </c>
      <c r="D22" s="38">
        <f>ROUNDUP(IF($D$12&lt;='[1]New Audit Methodology Guidance'!$B$18,IF('Sample Size &amp; Threshold Calc'!$D$12&gt;'[1]New Audit Methodology Guidance'!$B$17,(($D$12-'[1]New Audit Methodology Guidance'!$B$17)*'[1]New Audit Methodology Guidance'!$J$18)+'[1]New Audit Methodology Guidance'!$H$17),0),0)</f>
        <v>0</v>
      </c>
      <c r="E22" s="38">
        <f>ROUNDUP(IF($D$12&lt;='[1]New Audit Methodology Guidance'!$B$18,IF('Sample Size &amp; Threshold Calc'!$D$12&gt;'[1]New Audit Methodology Guidance'!$B$17,(($D$12-'[1]New Audit Methodology Guidance'!$B$17)*'[1]New Audit Methodology Guidance'!$N$18)+'[1]New Audit Methodology Guidance'!$L$17),0),0)</f>
        <v>0</v>
      </c>
      <c r="F22" s="38">
        <f>ROUNDUP(IF($D$12&lt;='[1]New Audit Methodology Guidance'!$B$18,IF('Sample Size &amp; Threshold Calc'!$D$12&gt;'[1]New Audit Methodology Guidance'!$B$17,(($D$12-'[1]New Audit Methodology Guidance'!$B$17)*'[1]New Audit Methodology Guidance'!$R$18)+'[1]New Audit Methodology Guidance'!$P$17),0),0)</f>
        <v>0</v>
      </c>
    </row>
    <row r="23" spans="2:6" x14ac:dyDescent="0.2">
      <c r="B23" s="37" t="s">
        <v>32</v>
      </c>
      <c r="C23" s="38">
        <f>ROUNDUP(IF($D$12&lt;='[1]New Audit Methodology Guidance'!B19,IF('Sample Size &amp; Threshold Calc'!$D$12&gt;'[1]New Audit Methodology Guidance'!B18,(($D$12-'[1]New Audit Methodology Guidance'!B18)*'[1]New Audit Methodology Guidance'!F19)+'[1]New Audit Methodology Guidance'!D18),0),0)</f>
        <v>0</v>
      </c>
      <c r="D23" s="38">
        <f>ROUNDUP(IF($D$12&lt;='[1]New Audit Methodology Guidance'!$B$19,IF('Sample Size &amp; Threshold Calc'!$D$12&gt;'[1]New Audit Methodology Guidance'!$B$18,(($D$12-'[1]New Audit Methodology Guidance'!$B$18)*'[1]New Audit Methodology Guidance'!$J$19)+'[1]New Audit Methodology Guidance'!$H$18),0),0)</f>
        <v>0</v>
      </c>
      <c r="E23" s="38">
        <f>ROUNDUP(IF($D$12&lt;='[1]New Audit Methodology Guidance'!$B$19,IF('Sample Size &amp; Threshold Calc'!$D$12&gt;'[1]New Audit Methodology Guidance'!$B$18,(($D$12-'[1]New Audit Methodology Guidance'!$B$18)*'[1]New Audit Methodology Guidance'!$N$19)+'[1]New Audit Methodology Guidance'!$L$18),0),0)</f>
        <v>0</v>
      </c>
      <c r="F23" s="38">
        <f>ROUNDUP(IF($D$12&lt;='[1]New Audit Methodology Guidance'!$B$19,IF('Sample Size &amp; Threshold Calc'!$D$12&gt;'[1]New Audit Methodology Guidance'!$B$18,(($D$12-'[1]New Audit Methodology Guidance'!$B$18)*'[1]New Audit Methodology Guidance'!$R$19)+'[1]New Audit Methodology Guidance'!$P$18),0),0)</f>
        <v>0</v>
      </c>
    </row>
    <row r="24" spans="2:6" x14ac:dyDescent="0.2">
      <c r="B24" s="37" t="s">
        <v>33</v>
      </c>
      <c r="C24" s="38">
        <f>ROUNDUP(IF($D$12&lt;='[1]New Audit Methodology Guidance'!B20,IF('Sample Size &amp; Threshold Calc'!$D$12&gt;'[1]New Audit Methodology Guidance'!B19,(($D$12-'[1]New Audit Methodology Guidance'!B19)*'[1]New Audit Methodology Guidance'!F20)+'[1]New Audit Methodology Guidance'!D19),0),0)</f>
        <v>0</v>
      </c>
      <c r="D24" s="38">
        <f>ROUNDUP(IF($D$12&lt;='[1]New Audit Methodology Guidance'!$B$20,IF('Sample Size &amp; Threshold Calc'!$D$12&gt;'[1]New Audit Methodology Guidance'!$B$19,(($D$12-'[1]New Audit Methodology Guidance'!$B$19)*'[1]New Audit Methodology Guidance'!$J$20)+'[1]New Audit Methodology Guidance'!$H$19),0),0)</f>
        <v>0</v>
      </c>
      <c r="E24" s="38">
        <f>ROUNDUP(IF($D$12&lt;='[1]New Audit Methodology Guidance'!$B$20,IF('Sample Size &amp; Threshold Calc'!$D$12&gt;'[1]New Audit Methodology Guidance'!$B$19,(($D$12-'[1]New Audit Methodology Guidance'!$B$19)*'[1]New Audit Methodology Guidance'!$N$20)+'[1]New Audit Methodology Guidance'!$L$19),0),0)</f>
        <v>0</v>
      </c>
      <c r="F24" s="38">
        <f>ROUNDUP(IF($D$12&lt;='[1]New Audit Methodology Guidance'!$B$20,IF('Sample Size &amp; Threshold Calc'!$D$12&gt;'[1]New Audit Methodology Guidance'!$B$19,(($D$12-'[1]New Audit Methodology Guidance'!$B$19)*'[1]New Audit Methodology Guidance'!$R$20)+'[1]New Audit Methodology Guidance'!$P$19),0),0)</f>
        <v>0</v>
      </c>
    </row>
    <row r="25" spans="2:6" x14ac:dyDescent="0.2">
      <c r="B25" s="37" t="s">
        <v>34</v>
      </c>
      <c r="C25" s="38">
        <f>ROUNDUP(IF($D$12&lt;='[1]New Audit Methodology Guidance'!B21,IF('Sample Size &amp; Threshold Calc'!$D$12&gt;'[1]New Audit Methodology Guidance'!B20,(($D$12-'[1]New Audit Methodology Guidance'!B20)*'[1]New Audit Methodology Guidance'!F21)+'[1]New Audit Methodology Guidance'!D20),0),0)</f>
        <v>0</v>
      </c>
      <c r="D25" s="38">
        <f>ROUNDUP(IF($D$12&lt;='[1]New Audit Methodology Guidance'!$B$21,IF('Sample Size &amp; Threshold Calc'!$D$12&gt;'[1]New Audit Methodology Guidance'!$B$20,(($D$12-'[1]New Audit Methodology Guidance'!$B$20)*'[1]New Audit Methodology Guidance'!$J$21)+'[1]New Audit Methodology Guidance'!$H$20),0),0)</f>
        <v>0</v>
      </c>
      <c r="E25" s="38">
        <f>ROUNDUP(IF($D$12&lt;='[1]New Audit Methodology Guidance'!$B$21,IF('Sample Size &amp; Threshold Calc'!$D$12&gt;'[1]New Audit Methodology Guidance'!$B$20,(($D$12-'[1]New Audit Methodology Guidance'!$B$20)*'[1]New Audit Methodology Guidance'!$N$21)+'[1]New Audit Methodology Guidance'!$L$20),0),0)</f>
        <v>0</v>
      </c>
      <c r="F25" s="38">
        <f>ROUNDUP(IF($D$12&lt;='[1]New Audit Methodology Guidance'!$B$21,IF('Sample Size &amp; Threshold Calc'!$D$12&gt;'[1]New Audit Methodology Guidance'!$B$20,(($D$12-'[1]New Audit Methodology Guidance'!$B$20)*'[1]New Audit Methodology Guidance'!$R$21)+'[1]New Audit Methodology Guidance'!$P$20),0),0)</f>
        <v>0</v>
      </c>
    </row>
    <row r="26" spans="2:6" x14ac:dyDescent="0.2">
      <c r="B26" s="37" t="s">
        <v>35</v>
      </c>
      <c r="C26" s="38">
        <f>ROUNDUP(IF($D$12&lt;='[1]New Audit Methodology Guidance'!B22,IF('Sample Size &amp; Threshold Calc'!$D$12&gt;'[1]New Audit Methodology Guidance'!B21,(($D$12-'[1]New Audit Methodology Guidance'!B21)*'[1]New Audit Methodology Guidance'!F22)+'[1]New Audit Methodology Guidance'!D21),0),0)</f>
        <v>0</v>
      </c>
      <c r="D26" s="38">
        <f>ROUNDUP(IF($D$12&lt;='[1]New Audit Methodology Guidance'!$B$22,IF('Sample Size &amp; Threshold Calc'!$D$12&gt;'[1]New Audit Methodology Guidance'!$B$21,(($D$12-'[1]New Audit Methodology Guidance'!$B$21)*'[1]New Audit Methodology Guidance'!$J$22)+'[1]New Audit Methodology Guidance'!$H$21),0),0)</f>
        <v>0</v>
      </c>
      <c r="E26" s="38">
        <f>ROUNDUP(IF($D$12&lt;='[1]New Audit Methodology Guidance'!$B$22,IF('Sample Size &amp; Threshold Calc'!$D$12&gt;'[1]New Audit Methodology Guidance'!$B$21,(($D$12-'[1]New Audit Methodology Guidance'!$B$21)*'[1]New Audit Methodology Guidance'!$N$22)+'[1]New Audit Methodology Guidance'!$L$21),0),0)</f>
        <v>0</v>
      </c>
      <c r="F26" s="38">
        <f>ROUNDUP(IF($D$12&lt;='[1]New Audit Methodology Guidance'!$B$22,IF('Sample Size &amp; Threshold Calc'!$D$12&gt;'[1]New Audit Methodology Guidance'!$B$21,(($D$12-'[1]New Audit Methodology Guidance'!$B$21)*'[1]New Audit Methodology Guidance'!$R$22)+'[1]New Audit Methodology Guidance'!$P$21),0),0)</f>
        <v>0</v>
      </c>
    </row>
    <row r="27" spans="2:6" x14ac:dyDescent="0.2">
      <c r="B27" s="37" t="s">
        <v>36</v>
      </c>
      <c r="C27" s="38">
        <f>ROUNDUP(IF($D$12&lt;='[1]New Audit Methodology Guidance'!$B$23,IF('Sample Size &amp; Threshold Calc'!$D$12&gt;'[1]New Audit Methodology Guidance'!B22,(($D$12-'[1]New Audit Methodology Guidance'!B22)*'[1]New Audit Methodology Guidance'!F23)+'[1]New Audit Methodology Guidance'!D22),40),0)</f>
        <v>0</v>
      </c>
      <c r="D27" s="38">
        <f>ROUNDUP(IF($D$12&lt;='[1]New Audit Methodology Guidance'!$B$23,IF('Sample Size &amp; Threshold Calc'!$D$12&gt;'[1]New Audit Methodology Guidance'!$B$22,(($D$12-'[1]New Audit Methodology Guidance'!$B$22)*'[1]New Audit Methodology Guidance'!$J$23)+'[1]New Audit Methodology Guidance'!H22),75),0)</f>
        <v>0</v>
      </c>
      <c r="E27" s="38">
        <f>ROUNDUP(IF($D$12&lt;='[1]New Audit Methodology Guidance'!$B$23,IF('Sample Size &amp; Threshold Calc'!$D$12&gt;'[1]New Audit Methodology Guidance'!$B$22,(($D$12-'[1]New Audit Methodology Guidance'!$B$22)*'[1]New Audit Methodology Guidance'!$N$23)+'[1]New Audit Methodology Guidance'!L22),75),0)</f>
        <v>0</v>
      </c>
      <c r="F27" s="38">
        <f>ROUNDUP(IF($D$12&lt;='[1]New Audit Methodology Guidance'!$B$23,IF('Sample Size &amp; Threshold Calc'!$D$12&gt;'[1]New Audit Methodology Guidance'!$B$22,(($D$12-'[1]New Audit Methodology Guidance'!$B$22)*'[1]New Audit Methodology Guidance'!$R$23)+'[1]New Audit Methodology Guidance'!P22),75),0)</f>
        <v>0</v>
      </c>
    </row>
    <row r="29" spans="2:6" x14ac:dyDescent="0.2">
      <c r="B29" s="37" t="s">
        <v>37</v>
      </c>
      <c r="C29" s="39">
        <f>ABS(IF((ABS($D$6)*'[1]New Audit Methodology Guidance'!D36)&lt;('[1]New Audit Methodology Guidance'!D37*ABS($D$8)),ABS($D$6)*'[1]New Audit Methodology Guidance'!D36,'[1]New Audit Methodology Guidance'!D37*ABS($D$8)))</f>
        <v>12150</v>
      </c>
      <c r="D29" s="39">
        <f>ABS(IF((ABS($D$6)*'[1]New Audit Methodology Guidance'!H36)&lt;('[1]New Audit Methodology Guidance'!H37*ABS($D$8)),ABS($D$6)*'[1]New Audit Methodology Guidance'!H36,'[1]New Audit Methodology Guidance'!H37*ABS($D$8)))</f>
        <v>12150</v>
      </c>
      <c r="E29" s="39">
        <f>ABS(IF((ABS($D$6)*'[1]New Audit Methodology Guidance'!L36)&lt;('[1]New Audit Methodology Guidance'!L37*ABS($D$8)),ABS($D$6)*'[1]New Audit Methodology Guidance'!L36,'[1]New Audit Methodology Guidance'!L37*ABS($D$8)))</f>
        <v>6075</v>
      </c>
      <c r="F29" s="39">
        <f>ABS(IF((ABS($D$6)*'[1]New Audit Methodology Guidance'!P36)&lt;('[1]New Audit Methodology Guidance'!P37*ABS($D$8)),ABS($D$6)*'[1]New Audit Methodology Guidance'!P36,'[1]New Audit Methodology Guidance'!P37*ABS($D$8)))</f>
        <v>6075</v>
      </c>
    </row>
    <row r="33" spans="2:7" ht="22.5" x14ac:dyDescent="0.2">
      <c r="B33" s="143" t="s">
        <v>38</v>
      </c>
      <c r="C33" s="143" t="s">
        <v>39</v>
      </c>
      <c r="D33" s="143" t="s">
        <v>40</v>
      </c>
      <c r="E33" s="143" t="s">
        <v>41</v>
      </c>
      <c r="F33" s="143" t="s">
        <v>42</v>
      </c>
    </row>
    <row r="34" spans="2:7" ht="15" x14ac:dyDescent="0.25">
      <c r="B34" s="144">
        <v>1</v>
      </c>
      <c r="C34" s="122">
        <v>155503</v>
      </c>
      <c r="D34" s="123">
        <v>43524</v>
      </c>
      <c r="E34" s="124" t="s">
        <v>75</v>
      </c>
      <c r="F34" s="125">
        <v>1050</v>
      </c>
    </row>
    <row r="35" spans="2:7" ht="15" x14ac:dyDescent="0.25">
      <c r="B35" s="144">
        <v>2</v>
      </c>
      <c r="C35" s="122">
        <v>167903</v>
      </c>
      <c r="D35" s="123">
        <v>43585</v>
      </c>
      <c r="E35" s="124" t="s">
        <v>79</v>
      </c>
      <c r="F35" s="125">
        <v>1850</v>
      </c>
    </row>
    <row r="36" spans="2:7" ht="15" x14ac:dyDescent="0.25">
      <c r="B36" s="144">
        <v>3</v>
      </c>
      <c r="C36" s="122">
        <v>176403</v>
      </c>
      <c r="D36" s="123">
        <v>43616</v>
      </c>
      <c r="E36" s="124" t="s">
        <v>84</v>
      </c>
      <c r="F36" s="125">
        <v>1100</v>
      </c>
    </row>
    <row r="37" spans="2:7" ht="15" x14ac:dyDescent="0.25">
      <c r="B37" s="144">
        <v>4</v>
      </c>
      <c r="C37" s="122">
        <v>192203</v>
      </c>
      <c r="D37" s="123">
        <v>43646</v>
      </c>
      <c r="E37" s="124" t="s">
        <v>91</v>
      </c>
      <c r="F37" s="125">
        <v>356.25</v>
      </c>
    </row>
    <row r="38" spans="2:7" ht="15" x14ac:dyDescent="0.25">
      <c r="B38" s="144">
        <v>5</v>
      </c>
      <c r="C38" s="122">
        <v>197103</v>
      </c>
      <c r="D38" s="123">
        <v>43677</v>
      </c>
      <c r="E38" s="124" t="s">
        <v>97</v>
      </c>
      <c r="F38" s="125">
        <v>890.62</v>
      </c>
    </row>
    <row r="39" spans="2:7" ht="15" x14ac:dyDescent="0.25">
      <c r="B39" s="144">
        <v>6</v>
      </c>
      <c r="C39" s="122">
        <v>218903</v>
      </c>
      <c r="D39" s="123">
        <v>43799</v>
      </c>
      <c r="E39" s="124" t="s">
        <v>103</v>
      </c>
      <c r="F39" s="125">
        <v>1462.5</v>
      </c>
    </row>
    <row r="40" spans="2:7" ht="15" x14ac:dyDescent="0.25">
      <c r="B40" s="144">
        <v>7</v>
      </c>
      <c r="C40" s="122">
        <v>150803</v>
      </c>
      <c r="D40" s="123">
        <v>43524</v>
      </c>
      <c r="E40" s="124" t="s">
        <v>113</v>
      </c>
      <c r="F40" s="125">
        <v>420</v>
      </c>
    </row>
    <row r="41" spans="2:7" ht="15" x14ac:dyDescent="0.25">
      <c r="B41" s="144">
        <v>8</v>
      </c>
      <c r="C41" s="122">
        <v>161103</v>
      </c>
      <c r="D41" s="123">
        <v>43555</v>
      </c>
      <c r="E41" s="124" t="s">
        <v>125</v>
      </c>
      <c r="F41" s="125">
        <v>1500</v>
      </c>
      <c r="G41" s="142"/>
    </row>
    <row r="42" spans="2:7" ht="15" x14ac:dyDescent="0.25">
      <c r="B42" s="144">
        <v>9</v>
      </c>
      <c r="C42" s="122">
        <v>170203</v>
      </c>
      <c r="D42" s="123">
        <v>43585</v>
      </c>
      <c r="E42" s="124" t="s">
        <v>132</v>
      </c>
      <c r="F42" s="125">
        <v>955</v>
      </c>
      <c r="G42" s="142"/>
    </row>
    <row r="43" spans="2:7" ht="15" x14ac:dyDescent="0.25">
      <c r="B43" s="144">
        <v>10</v>
      </c>
      <c r="C43" s="122">
        <v>173503</v>
      </c>
      <c r="D43" s="123">
        <v>43616</v>
      </c>
      <c r="E43" s="124" t="s">
        <v>145</v>
      </c>
      <c r="F43" s="125">
        <v>720</v>
      </c>
      <c r="G43" s="142"/>
    </row>
    <row r="44" spans="2:7" ht="15" x14ac:dyDescent="0.25">
      <c r="B44" s="144">
        <v>11</v>
      </c>
      <c r="C44" s="122">
        <v>173403</v>
      </c>
      <c r="D44" s="123">
        <v>43616</v>
      </c>
      <c r="E44" s="124" t="s">
        <v>150</v>
      </c>
      <c r="F44" s="125">
        <v>1000</v>
      </c>
      <c r="G44" s="142"/>
    </row>
    <row r="45" spans="2:7" ht="15" x14ac:dyDescent="0.25">
      <c r="B45" s="144">
        <v>12</v>
      </c>
      <c r="C45" s="122">
        <v>188503</v>
      </c>
      <c r="D45" s="123">
        <v>43646</v>
      </c>
      <c r="E45" s="124" t="s">
        <v>156</v>
      </c>
      <c r="F45" s="125">
        <v>96</v>
      </c>
    </row>
    <row r="46" spans="2:7" ht="15" x14ac:dyDescent="0.25">
      <c r="B46" s="144">
        <v>13</v>
      </c>
      <c r="C46" s="122">
        <v>189003</v>
      </c>
      <c r="D46" s="123">
        <v>43646</v>
      </c>
      <c r="E46" s="124" t="s">
        <v>160</v>
      </c>
      <c r="F46" s="125">
        <v>142</v>
      </c>
    </row>
    <row r="47" spans="2:7" ht="15" x14ac:dyDescent="0.25">
      <c r="B47" s="144">
        <v>14</v>
      </c>
      <c r="C47" s="122">
        <v>179703</v>
      </c>
      <c r="D47" s="123">
        <v>43646</v>
      </c>
      <c r="E47" s="124" t="s">
        <v>164</v>
      </c>
      <c r="F47" s="125">
        <v>1720</v>
      </c>
    </row>
    <row r="48" spans="2:7" ht="15" x14ac:dyDescent="0.25">
      <c r="B48" s="144">
        <v>15</v>
      </c>
      <c r="C48" s="122">
        <v>185703</v>
      </c>
      <c r="D48" s="123">
        <v>43646</v>
      </c>
      <c r="E48" s="124" t="s">
        <v>167</v>
      </c>
      <c r="F48" s="125">
        <v>1325</v>
      </c>
    </row>
    <row r="49" spans="2:6" ht="15" x14ac:dyDescent="0.25">
      <c r="B49" s="144">
        <v>16</v>
      </c>
      <c r="C49" s="122">
        <v>185203</v>
      </c>
      <c r="D49" s="123">
        <v>43646</v>
      </c>
      <c r="E49" s="124" t="s">
        <v>173</v>
      </c>
      <c r="F49" s="125">
        <v>1604.16</v>
      </c>
    </row>
    <row r="50" spans="2:6" ht="15" x14ac:dyDescent="0.25">
      <c r="B50" s="144">
        <v>17</v>
      </c>
      <c r="C50" s="122">
        <v>205703</v>
      </c>
      <c r="D50" s="123">
        <v>43708</v>
      </c>
      <c r="E50" s="124" t="s">
        <v>183</v>
      </c>
      <c r="F50" s="125">
        <v>731.25</v>
      </c>
    </row>
    <row r="51" spans="2:6" ht="15" x14ac:dyDescent="0.25">
      <c r="B51" s="144">
        <v>18</v>
      </c>
      <c r="C51" s="122">
        <v>211803</v>
      </c>
      <c r="D51" s="123">
        <v>43738</v>
      </c>
      <c r="E51" s="124" t="s">
        <v>194</v>
      </c>
      <c r="F51" s="125">
        <v>800</v>
      </c>
    </row>
    <row r="52" spans="2:6" ht="15" x14ac:dyDescent="0.25">
      <c r="B52" s="144">
        <v>19</v>
      </c>
      <c r="C52" s="122">
        <v>218803</v>
      </c>
      <c r="D52" s="123">
        <v>43799</v>
      </c>
      <c r="E52" s="124" t="s">
        <v>197</v>
      </c>
      <c r="F52" s="125">
        <v>3000</v>
      </c>
    </row>
    <row r="53" spans="2:6" ht="15" x14ac:dyDescent="0.25">
      <c r="B53" s="144">
        <v>20</v>
      </c>
      <c r="C53" s="122">
        <v>166402</v>
      </c>
      <c r="D53" s="123">
        <v>43496</v>
      </c>
      <c r="E53" s="124" t="s">
        <v>201</v>
      </c>
      <c r="F53" s="125">
        <v>8000</v>
      </c>
    </row>
    <row r="54" spans="2:6" ht="15" x14ac:dyDescent="0.25">
      <c r="B54" s="144">
        <v>21</v>
      </c>
      <c r="C54" s="122">
        <v>166502</v>
      </c>
      <c r="D54" s="123">
        <v>43496</v>
      </c>
      <c r="E54" s="124" t="s">
        <v>202</v>
      </c>
      <c r="F54" s="125">
        <v>10500</v>
      </c>
    </row>
    <row r="55" spans="2:6" ht="15" x14ac:dyDescent="0.25">
      <c r="B55" s="144">
        <v>22</v>
      </c>
      <c r="C55" s="122">
        <v>179802</v>
      </c>
      <c r="D55" s="123">
        <v>43524</v>
      </c>
      <c r="E55" s="124" t="s">
        <v>209</v>
      </c>
      <c r="F55" s="125">
        <v>15000</v>
      </c>
    </row>
    <row r="56" spans="2:6" ht="15" x14ac:dyDescent="0.25">
      <c r="B56" s="144">
        <v>23</v>
      </c>
      <c r="C56" s="122">
        <v>180402</v>
      </c>
      <c r="D56" s="123">
        <v>43524</v>
      </c>
      <c r="E56" s="124" t="s">
        <v>210</v>
      </c>
      <c r="F56" s="125">
        <v>10500</v>
      </c>
    </row>
    <row r="57" spans="2:6" ht="15" x14ac:dyDescent="0.25">
      <c r="B57" s="144">
        <v>24</v>
      </c>
      <c r="C57" s="122">
        <v>180402</v>
      </c>
      <c r="D57" s="123">
        <v>43646</v>
      </c>
      <c r="E57" s="124" t="s">
        <v>211</v>
      </c>
      <c r="F57" s="125">
        <v>10500</v>
      </c>
    </row>
    <row r="58" spans="2:6" ht="15" x14ac:dyDescent="0.25">
      <c r="B58" s="144">
        <v>25</v>
      </c>
      <c r="C58" s="122">
        <v>213902</v>
      </c>
      <c r="D58" s="123">
        <v>43646</v>
      </c>
      <c r="E58" s="124" t="s">
        <v>212</v>
      </c>
      <c r="F58" s="125">
        <v>22.4</v>
      </c>
    </row>
    <row r="59" spans="2:6" ht="15" x14ac:dyDescent="0.25">
      <c r="B59" s="144">
        <v>26</v>
      </c>
      <c r="C59" s="127">
        <v>178602</v>
      </c>
      <c r="D59" s="128">
        <v>43524</v>
      </c>
      <c r="E59" s="129" t="s">
        <v>216</v>
      </c>
      <c r="F59" s="130">
        <v>15000</v>
      </c>
    </row>
    <row r="60" spans="2:6" ht="15" x14ac:dyDescent="0.25">
      <c r="B60" s="144">
        <v>27</v>
      </c>
      <c r="C60" s="127">
        <v>176902</v>
      </c>
      <c r="D60" s="128">
        <v>43524</v>
      </c>
      <c r="E60" s="129" t="s">
        <v>217</v>
      </c>
      <c r="F60" s="130">
        <v>15000</v>
      </c>
    </row>
    <row r="61" spans="2:6" ht="15" x14ac:dyDescent="0.25">
      <c r="B61" s="144">
        <v>28</v>
      </c>
      <c r="C61" s="122">
        <v>168003</v>
      </c>
      <c r="D61" s="123">
        <v>43585</v>
      </c>
      <c r="E61" s="124" t="s">
        <v>222</v>
      </c>
      <c r="F61" s="125">
        <v>2195</v>
      </c>
    </row>
    <row r="62" spans="2:6" ht="15" x14ac:dyDescent="0.25">
      <c r="B62" s="144">
        <v>29</v>
      </c>
      <c r="C62" s="122">
        <v>172403</v>
      </c>
      <c r="D62" s="123">
        <v>43616</v>
      </c>
      <c r="E62" s="124" t="s">
        <v>224</v>
      </c>
      <c r="F62" s="125">
        <v>2850</v>
      </c>
    </row>
    <row r="63" spans="2:6" ht="15" x14ac:dyDescent="0.25">
      <c r="B63" s="144">
        <v>30</v>
      </c>
      <c r="C63" s="122">
        <v>203103</v>
      </c>
      <c r="D63" s="123">
        <v>43677</v>
      </c>
      <c r="E63" s="124" t="s">
        <v>231</v>
      </c>
      <c r="F63" s="125">
        <v>1390.17</v>
      </c>
    </row>
    <row r="64" spans="2:6" ht="15" x14ac:dyDescent="0.25">
      <c r="B64" s="144">
        <v>31</v>
      </c>
      <c r="C64" s="122">
        <v>173203</v>
      </c>
      <c r="D64" s="123">
        <v>43616</v>
      </c>
      <c r="E64" s="124" t="s">
        <v>236</v>
      </c>
      <c r="F64" s="125">
        <v>1500</v>
      </c>
    </row>
    <row r="65" spans="2:6" ht="15" x14ac:dyDescent="0.25">
      <c r="B65" s="144">
        <v>32</v>
      </c>
      <c r="C65" s="122">
        <v>185403</v>
      </c>
      <c r="D65" s="123">
        <v>43646</v>
      </c>
      <c r="E65" s="124" t="s">
        <v>238</v>
      </c>
      <c r="F65" s="125">
        <v>5976</v>
      </c>
    </row>
    <row r="66" spans="2:6" ht="15" x14ac:dyDescent="0.25">
      <c r="B66" s="144">
        <v>33</v>
      </c>
      <c r="C66" s="122">
        <v>212803</v>
      </c>
      <c r="D66" s="123">
        <v>43738</v>
      </c>
      <c r="E66" s="124" t="s">
        <v>243</v>
      </c>
      <c r="F66" s="125">
        <v>1250</v>
      </c>
    </row>
    <row r="67" spans="2:6" ht="15" x14ac:dyDescent="0.25">
      <c r="B67" s="144">
        <v>34</v>
      </c>
      <c r="C67" s="122">
        <v>219303</v>
      </c>
      <c r="D67" s="123">
        <v>43830</v>
      </c>
      <c r="E67" s="124" t="s">
        <v>246</v>
      </c>
      <c r="F67" s="125">
        <v>1250</v>
      </c>
    </row>
    <row r="68" spans="2:6" ht="15" x14ac:dyDescent="0.25">
      <c r="B68" s="144">
        <v>35</v>
      </c>
      <c r="C68" s="122">
        <v>209002</v>
      </c>
      <c r="D68" s="123">
        <v>43616</v>
      </c>
      <c r="E68" s="124" t="s">
        <v>247</v>
      </c>
      <c r="F68" s="125">
        <v>7448.89</v>
      </c>
    </row>
    <row r="69" spans="2:6" ht="15" x14ac:dyDescent="0.25">
      <c r="B69" s="145">
        <v>36</v>
      </c>
      <c r="C69" s="131">
        <v>236002</v>
      </c>
      <c r="D69" s="132">
        <v>43738</v>
      </c>
      <c r="E69" s="133" t="s">
        <v>249</v>
      </c>
      <c r="F69" s="134">
        <v>2078.83</v>
      </c>
    </row>
  </sheetData>
  <mergeCells count="4">
    <mergeCell ref="D4:E4"/>
    <mergeCell ref="D6:E6"/>
    <mergeCell ref="D8:E8"/>
    <mergeCell ref="D10:E10"/>
  </mergeCells>
  <conditionalFormatting sqref="C19:F27 C29:F29">
    <cfRule type="cellIs" dxfId="0" priority="2" operator="greaterThan">
      <formula>0</formula>
    </cfRule>
  </conditionalFormatting>
  <dataValidations count="2">
    <dataValidation operator="notEqual" allowBlank="1" showInputMessage="1" errorTitle="Warning" error="You must enter a number." sqref="D6">
      <formula1>0</formula1>
      <formula2>0</formula2>
    </dataValidation>
    <dataValidation type="list" allowBlank="1" showInputMessage="1" showErrorMessage="1" sqref="D10">
      <formula1>$C$18:$F$18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04"/>
  <sheetViews>
    <sheetView showGridLines="0" zoomScale="95" zoomScaleNormal="95" workbookViewId="0">
      <selection activeCell="K184" sqref="K184"/>
    </sheetView>
  </sheetViews>
  <sheetFormatPr baseColWidth="10" defaultColWidth="9.140625" defaultRowHeight="12.75" x14ac:dyDescent="0.2"/>
  <cols>
    <col min="1" max="1" width="2.42578125" customWidth="1"/>
    <col min="2" max="2" width="22.85546875" customWidth="1"/>
    <col min="3" max="3" width="20.5703125" customWidth="1"/>
    <col min="4" max="4" width="12.140625" customWidth="1"/>
    <col min="5" max="5" width="63.140625" customWidth="1"/>
    <col min="6" max="6" width="13.140625" customWidth="1"/>
    <col min="7" max="7" width="18.5703125" customWidth="1"/>
    <col min="8" max="8" width="15" customWidth="1"/>
    <col min="9" max="9" width="14.140625" customWidth="1"/>
    <col min="10" max="10" width="12.7109375" customWidth="1"/>
    <col min="11" max="1025" width="9.140625" customWidth="1"/>
  </cols>
  <sheetData>
    <row r="1" spans="1:226" x14ac:dyDescent="0.2">
      <c r="A1" s="2" t="str">
        <f>+General!A2</f>
        <v>TELSOTERRA S.A.</v>
      </c>
    </row>
    <row r="2" spans="1:226" x14ac:dyDescent="0.2">
      <c r="A2" s="2" t="s">
        <v>43</v>
      </c>
    </row>
    <row r="3" spans="1:226" x14ac:dyDescent="0.2">
      <c r="A3" s="3" t="s">
        <v>44</v>
      </c>
      <c r="B3" s="40"/>
      <c r="C3" s="40"/>
      <c r="D3" s="41"/>
    </row>
    <row r="5" spans="1:226" x14ac:dyDescent="0.2">
      <c r="B5" s="1"/>
      <c r="C5" s="1"/>
      <c r="D5" s="1"/>
      <c r="E5" s="1"/>
      <c r="F5" s="1"/>
      <c r="G5" s="1"/>
      <c r="H5" s="1"/>
      <c r="I5" s="1"/>
      <c r="J5" s="1"/>
    </row>
    <row r="6" spans="1:226" s="42" customFormat="1" ht="27" customHeight="1" x14ac:dyDescent="0.3">
      <c r="B6" s="151" t="s">
        <v>45</v>
      </c>
      <c r="C6" s="151"/>
      <c r="D6" s="151"/>
      <c r="E6" s="151"/>
      <c r="F6" s="151"/>
      <c r="G6" s="151"/>
      <c r="H6" s="151"/>
      <c r="I6" s="151"/>
      <c r="J6" s="151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</row>
    <row r="7" spans="1:226" s="43" customFormat="1" ht="14.25" x14ac:dyDescent="0.2">
      <c r="B7" s="44" t="s">
        <v>46</v>
      </c>
      <c r="C7" s="45" t="s">
        <v>47</v>
      </c>
      <c r="D7" s="46"/>
      <c r="E7" s="46"/>
      <c r="F7" s="46"/>
      <c r="G7" s="46"/>
      <c r="H7" s="46"/>
      <c r="I7" s="47"/>
      <c r="J7" s="48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</row>
    <row r="8" spans="1:226" s="42" customFormat="1" ht="14.25" x14ac:dyDescent="0.2">
      <c r="B8" s="44" t="s">
        <v>48</v>
      </c>
      <c r="C8" s="49">
        <v>226545</v>
      </c>
      <c r="D8" s="46"/>
      <c r="E8" s="46" t="s">
        <v>49</v>
      </c>
      <c r="F8" s="46"/>
      <c r="G8" s="46"/>
      <c r="H8" s="47"/>
      <c r="I8" s="50"/>
      <c r="J8" s="51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</row>
    <row r="9" spans="1:226" s="42" customFormat="1" ht="14.25" x14ac:dyDescent="0.2">
      <c r="B9" s="44" t="s">
        <v>50</v>
      </c>
      <c r="C9" s="52">
        <v>48</v>
      </c>
      <c r="D9" s="46"/>
      <c r="E9" s="46"/>
      <c r="F9" s="46"/>
      <c r="G9" s="46"/>
      <c r="H9" s="47"/>
      <c r="I9" s="50"/>
      <c r="J9" s="51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</row>
    <row r="10" spans="1:226" s="42" customFormat="1" ht="14.25" x14ac:dyDescent="0.2">
      <c r="B10" s="44" t="s">
        <v>51</v>
      </c>
      <c r="C10" s="49">
        <f>C8/C9</f>
        <v>4719.6875</v>
      </c>
      <c r="D10" s="46"/>
      <c r="E10" s="53">
        <f>+C10/2</f>
        <v>2359.84375</v>
      </c>
      <c r="F10" s="46"/>
      <c r="G10" s="46"/>
      <c r="H10" s="47"/>
      <c r="I10" s="50"/>
      <c r="J10" s="51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</row>
    <row r="11" spans="1:226" s="42" customFormat="1" ht="14.25" x14ac:dyDescent="0.2">
      <c r="B11" s="54" t="s">
        <v>52</v>
      </c>
      <c r="C11" s="55">
        <f>E10</f>
        <v>2359.84375</v>
      </c>
      <c r="D11" s="46"/>
      <c r="E11" s="56"/>
      <c r="F11" s="56"/>
      <c r="G11" s="56"/>
      <c r="H11" s="57"/>
      <c r="I11" s="58"/>
      <c r="J11" s="59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</row>
    <row r="12" spans="1:226" s="60" customFormat="1" ht="25.5" x14ac:dyDescent="0.2">
      <c r="B12" s="61" t="s">
        <v>53</v>
      </c>
      <c r="C12" s="62" t="s">
        <v>39</v>
      </c>
      <c r="D12" s="62" t="s">
        <v>40</v>
      </c>
      <c r="E12" s="62" t="s">
        <v>54</v>
      </c>
      <c r="F12" s="61" t="s">
        <v>42</v>
      </c>
      <c r="G12" s="61" t="s">
        <v>55</v>
      </c>
      <c r="H12" s="61" t="s">
        <v>56</v>
      </c>
      <c r="I12" s="61" t="s">
        <v>57</v>
      </c>
      <c r="J12" s="61" t="s">
        <v>58</v>
      </c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</row>
    <row r="13" spans="1:226" ht="15" customHeight="1" x14ac:dyDescent="0.25">
      <c r="B13" s="64"/>
      <c r="C13" s="111"/>
      <c r="D13" s="112"/>
      <c r="E13" s="112"/>
      <c r="F13" s="113"/>
      <c r="G13" s="65"/>
      <c r="H13" s="65"/>
      <c r="I13" s="65"/>
      <c r="J13" s="139">
        <f>-$C$11</f>
        <v>-2359.84375</v>
      </c>
    </row>
    <row r="14" spans="1:226" s="66" customFormat="1" ht="12.75" customHeight="1" x14ac:dyDescent="0.2">
      <c r="B14" s="67">
        <v>1</v>
      </c>
      <c r="C14" s="117">
        <v>156203</v>
      </c>
      <c r="D14" s="118">
        <v>43524</v>
      </c>
      <c r="E14" s="119" t="s">
        <v>74</v>
      </c>
      <c r="F14" s="120">
        <v>1440</v>
      </c>
      <c r="G14" s="121">
        <f t="shared" ref="G14:G77" si="0">F14+J13</f>
        <v>-919.84375</v>
      </c>
      <c r="H14" s="68">
        <f t="shared" ref="H14:H77" si="1">IF(G14&gt;0,ROUND(G14/I14+0.5,0),0)</f>
        <v>0</v>
      </c>
      <c r="I14" s="69">
        <f t="shared" ref="I14:I77" si="2">$C$10</f>
        <v>4719.6875</v>
      </c>
      <c r="J14" s="70">
        <f t="shared" ref="J14:J77" si="3">G14-(H14*I14)</f>
        <v>-919.84375</v>
      </c>
    </row>
    <row r="15" spans="1:226" s="66" customFormat="1" ht="12.75" customHeight="1" x14ac:dyDescent="0.2">
      <c r="B15" s="71">
        <f t="shared" ref="B15:B78" si="4">+B14+1</f>
        <v>2</v>
      </c>
      <c r="C15" s="122">
        <v>155503</v>
      </c>
      <c r="D15" s="123">
        <v>43524</v>
      </c>
      <c r="E15" s="124" t="s">
        <v>75</v>
      </c>
      <c r="F15" s="125">
        <v>1050</v>
      </c>
      <c r="G15" s="126">
        <f t="shared" si="0"/>
        <v>130.15625</v>
      </c>
      <c r="H15" s="72">
        <f t="shared" si="1"/>
        <v>1</v>
      </c>
      <c r="I15" s="73">
        <f t="shared" si="2"/>
        <v>4719.6875</v>
      </c>
      <c r="J15" s="74">
        <f t="shared" si="3"/>
        <v>-4589.53125</v>
      </c>
    </row>
    <row r="16" spans="1:226" s="66" customFormat="1" ht="12.75" customHeight="1" x14ac:dyDescent="0.2">
      <c r="B16" s="71">
        <f t="shared" si="4"/>
        <v>3</v>
      </c>
      <c r="C16" s="122">
        <v>155603</v>
      </c>
      <c r="D16" s="123">
        <v>43524</v>
      </c>
      <c r="E16" s="124" t="s">
        <v>76</v>
      </c>
      <c r="F16" s="125">
        <v>1650</v>
      </c>
      <c r="G16" s="126">
        <f t="shared" si="0"/>
        <v>-2939.53125</v>
      </c>
      <c r="H16" s="72">
        <f t="shared" si="1"/>
        <v>0</v>
      </c>
      <c r="I16" s="73">
        <f t="shared" si="2"/>
        <v>4719.6875</v>
      </c>
      <c r="J16" s="74">
        <f t="shared" si="3"/>
        <v>-2939.53125</v>
      </c>
    </row>
    <row r="17" spans="2:10" s="66" customFormat="1" ht="12.75" customHeight="1" x14ac:dyDescent="0.2">
      <c r="B17" s="71">
        <f t="shared" si="4"/>
        <v>4</v>
      </c>
      <c r="C17" s="122">
        <v>157903</v>
      </c>
      <c r="D17" s="123">
        <v>43555</v>
      </c>
      <c r="E17" s="124" t="s">
        <v>77</v>
      </c>
      <c r="F17" s="125">
        <v>1500</v>
      </c>
      <c r="G17" s="126">
        <f t="shared" si="0"/>
        <v>-1439.53125</v>
      </c>
      <c r="H17" s="72">
        <f t="shared" si="1"/>
        <v>0</v>
      </c>
      <c r="I17" s="73">
        <f t="shared" si="2"/>
        <v>4719.6875</v>
      </c>
      <c r="J17" s="74">
        <f t="shared" si="3"/>
        <v>-1439.53125</v>
      </c>
    </row>
    <row r="18" spans="2:10" s="66" customFormat="1" ht="12.75" customHeight="1" x14ac:dyDescent="0.2">
      <c r="B18" s="71">
        <f t="shared" si="4"/>
        <v>5</v>
      </c>
      <c r="C18" s="122">
        <v>171103</v>
      </c>
      <c r="D18" s="123">
        <v>43585</v>
      </c>
      <c r="E18" s="124" t="s">
        <v>78</v>
      </c>
      <c r="F18" s="125">
        <v>1125</v>
      </c>
      <c r="G18" s="126">
        <f t="shared" si="0"/>
        <v>-314.53125</v>
      </c>
      <c r="H18" s="72">
        <f t="shared" si="1"/>
        <v>0</v>
      </c>
      <c r="I18" s="73">
        <f t="shared" si="2"/>
        <v>4719.6875</v>
      </c>
      <c r="J18" s="74">
        <f t="shared" si="3"/>
        <v>-314.53125</v>
      </c>
    </row>
    <row r="19" spans="2:10" s="66" customFormat="1" ht="12.75" customHeight="1" x14ac:dyDescent="0.2">
      <c r="B19" s="71">
        <f t="shared" si="4"/>
        <v>6</v>
      </c>
      <c r="C19" s="122">
        <v>167903</v>
      </c>
      <c r="D19" s="123">
        <v>43585</v>
      </c>
      <c r="E19" s="124" t="s">
        <v>79</v>
      </c>
      <c r="F19" s="125">
        <v>1850</v>
      </c>
      <c r="G19" s="126">
        <f t="shared" si="0"/>
        <v>1535.46875</v>
      </c>
      <c r="H19" s="72">
        <f t="shared" si="1"/>
        <v>1</v>
      </c>
      <c r="I19" s="73">
        <f t="shared" si="2"/>
        <v>4719.6875</v>
      </c>
      <c r="J19" s="74">
        <f t="shared" si="3"/>
        <v>-3184.21875</v>
      </c>
    </row>
    <row r="20" spans="2:10" s="66" customFormat="1" ht="12.75" customHeight="1" x14ac:dyDescent="0.2">
      <c r="B20" s="71">
        <f t="shared" si="4"/>
        <v>7</v>
      </c>
      <c r="C20" s="122">
        <v>169703</v>
      </c>
      <c r="D20" s="123">
        <v>43585</v>
      </c>
      <c r="E20" s="124" t="s">
        <v>80</v>
      </c>
      <c r="F20" s="125">
        <v>900</v>
      </c>
      <c r="G20" s="126">
        <f t="shared" si="0"/>
        <v>-2284.21875</v>
      </c>
      <c r="H20" s="72">
        <f t="shared" si="1"/>
        <v>0</v>
      </c>
      <c r="I20" s="73">
        <f t="shared" si="2"/>
        <v>4719.6875</v>
      </c>
      <c r="J20" s="74">
        <f t="shared" si="3"/>
        <v>-2284.21875</v>
      </c>
    </row>
    <row r="21" spans="2:10" s="66" customFormat="1" ht="12.75" customHeight="1" x14ac:dyDescent="0.2">
      <c r="B21" s="71">
        <f t="shared" si="4"/>
        <v>8</v>
      </c>
      <c r="C21" s="122">
        <v>165103</v>
      </c>
      <c r="D21" s="123">
        <v>43585</v>
      </c>
      <c r="E21" s="124" t="s">
        <v>81</v>
      </c>
      <c r="F21" s="125">
        <v>100</v>
      </c>
      <c r="G21" s="126">
        <f t="shared" si="0"/>
        <v>-2184.21875</v>
      </c>
      <c r="H21" s="72">
        <f t="shared" si="1"/>
        <v>0</v>
      </c>
      <c r="I21" s="73">
        <f t="shared" si="2"/>
        <v>4719.6875</v>
      </c>
      <c r="J21" s="74">
        <f t="shared" si="3"/>
        <v>-2184.21875</v>
      </c>
    </row>
    <row r="22" spans="2:10" s="66" customFormat="1" ht="12.75" customHeight="1" x14ac:dyDescent="0.2">
      <c r="B22" s="71">
        <f t="shared" si="4"/>
        <v>9</v>
      </c>
      <c r="C22" s="122">
        <v>164003</v>
      </c>
      <c r="D22" s="123">
        <v>43585</v>
      </c>
      <c r="E22" s="124" t="s">
        <v>82</v>
      </c>
      <c r="F22" s="125">
        <v>880</v>
      </c>
      <c r="G22" s="126">
        <f t="shared" si="0"/>
        <v>-1304.21875</v>
      </c>
      <c r="H22" s="72">
        <f t="shared" si="1"/>
        <v>0</v>
      </c>
      <c r="I22" s="73">
        <f t="shared" si="2"/>
        <v>4719.6875</v>
      </c>
      <c r="J22" s="74">
        <f t="shared" si="3"/>
        <v>-1304.21875</v>
      </c>
    </row>
    <row r="23" spans="2:10" s="66" customFormat="1" ht="12.75" customHeight="1" x14ac:dyDescent="0.2">
      <c r="B23" s="71">
        <f t="shared" si="4"/>
        <v>10</v>
      </c>
      <c r="C23" s="122">
        <v>166803</v>
      </c>
      <c r="D23" s="123">
        <v>43585</v>
      </c>
      <c r="E23" s="124" t="s">
        <v>83</v>
      </c>
      <c r="F23" s="125">
        <v>356.25</v>
      </c>
      <c r="G23" s="126">
        <f t="shared" si="0"/>
        <v>-947.96875</v>
      </c>
      <c r="H23" s="72">
        <f t="shared" si="1"/>
        <v>0</v>
      </c>
      <c r="I23" s="73">
        <f t="shared" si="2"/>
        <v>4719.6875</v>
      </c>
      <c r="J23" s="74">
        <f t="shared" si="3"/>
        <v>-947.96875</v>
      </c>
    </row>
    <row r="24" spans="2:10" s="66" customFormat="1" ht="12.75" customHeight="1" x14ac:dyDescent="0.2">
      <c r="B24" s="71">
        <f t="shared" si="4"/>
        <v>11</v>
      </c>
      <c r="C24" s="122">
        <v>176403</v>
      </c>
      <c r="D24" s="123">
        <v>43616</v>
      </c>
      <c r="E24" s="124" t="s">
        <v>84</v>
      </c>
      <c r="F24" s="125">
        <v>1100</v>
      </c>
      <c r="G24" s="126">
        <f t="shared" si="0"/>
        <v>152.03125</v>
      </c>
      <c r="H24" s="72">
        <f t="shared" si="1"/>
        <v>1</v>
      </c>
      <c r="I24" s="73">
        <f t="shared" si="2"/>
        <v>4719.6875</v>
      </c>
      <c r="J24" s="74">
        <f t="shared" si="3"/>
        <v>-4567.65625</v>
      </c>
    </row>
    <row r="25" spans="2:10" s="66" customFormat="1" ht="12.75" customHeight="1" x14ac:dyDescent="0.2">
      <c r="B25" s="71">
        <f t="shared" si="4"/>
        <v>12</v>
      </c>
      <c r="C25" s="122">
        <v>174703</v>
      </c>
      <c r="D25" s="123">
        <v>43616</v>
      </c>
      <c r="E25" s="124" t="s">
        <v>85</v>
      </c>
      <c r="F25" s="125">
        <v>236</v>
      </c>
      <c r="G25" s="126">
        <f t="shared" si="0"/>
        <v>-4331.65625</v>
      </c>
      <c r="H25" s="72">
        <f t="shared" si="1"/>
        <v>0</v>
      </c>
      <c r="I25" s="73">
        <f t="shared" si="2"/>
        <v>4719.6875</v>
      </c>
      <c r="J25" s="74">
        <f t="shared" si="3"/>
        <v>-4331.65625</v>
      </c>
    </row>
    <row r="26" spans="2:10" s="66" customFormat="1" ht="12.75" customHeight="1" x14ac:dyDescent="0.2">
      <c r="B26" s="71">
        <f t="shared" si="4"/>
        <v>13</v>
      </c>
      <c r="C26" s="122">
        <v>206102</v>
      </c>
      <c r="D26" s="123">
        <v>43616</v>
      </c>
      <c r="E26" s="124" t="s">
        <v>86</v>
      </c>
      <c r="F26" s="125">
        <v>40</v>
      </c>
      <c r="G26" s="126">
        <f t="shared" si="0"/>
        <v>-4291.65625</v>
      </c>
      <c r="H26" s="72">
        <f t="shared" si="1"/>
        <v>0</v>
      </c>
      <c r="I26" s="73">
        <f t="shared" si="2"/>
        <v>4719.6875</v>
      </c>
      <c r="J26" s="74">
        <f t="shared" si="3"/>
        <v>-4291.65625</v>
      </c>
    </row>
    <row r="27" spans="2:10" s="66" customFormat="1" ht="12.75" customHeight="1" x14ac:dyDescent="0.2">
      <c r="B27" s="71">
        <f t="shared" si="4"/>
        <v>14</v>
      </c>
      <c r="C27" s="122">
        <v>186203</v>
      </c>
      <c r="D27" s="123">
        <v>43646</v>
      </c>
      <c r="E27" s="124" t="s">
        <v>87</v>
      </c>
      <c r="F27" s="125">
        <v>606.25</v>
      </c>
      <c r="G27" s="126">
        <f t="shared" si="0"/>
        <v>-3685.40625</v>
      </c>
      <c r="H27" s="72">
        <f t="shared" si="1"/>
        <v>0</v>
      </c>
      <c r="I27" s="73">
        <f t="shared" si="2"/>
        <v>4719.6875</v>
      </c>
      <c r="J27" s="74">
        <f t="shared" si="3"/>
        <v>-3685.40625</v>
      </c>
    </row>
    <row r="28" spans="2:10" s="66" customFormat="1" ht="12.75" customHeight="1" x14ac:dyDescent="0.2">
      <c r="B28" s="71">
        <f t="shared" si="4"/>
        <v>15</v>
      </c>
      <c r="C28" s="122">
        <v>188303</v>
      </c>
      <c r="D28" s="123">
        <v>43646</v>
      </c>
      <c r="E28" s="124" t="s">
        <v>88</v>
      </c>
      <c r="F28" s="125">
        <v>2781.25</v>
      </c>
      <c r="G28" s="126">
        <f t="shared" si="0"/>
        <v>-904.15625</v>
      </c>
      <c r="H28" s="72">
        <f t="shared" si="1"/>
        <v>0</v>
      </c>
      <c r="I28" s="73">
        <f t="shared" si="2"/>
        <v>4719.6875</v>
      </c>
      <c r="J28" s="74">
        <f t="shared" si="3"/>
        <v>-904.15625</v>
      </c>
    </row>
    <row r="29" spans="2:10" s="66" customFormat="1" ht="12.75" customHeight="1" x14ac:dyDescent="0.2">
      <c r="B29" s="71">
        <f t="shared" si="4"/>
        <v>16</v>
      </c>
      <c r="C29" s="122">
        <v>191603</v>
      </c>
      <c r="D29" s="123">
        <v>43646</v>
      </c>
      <c r="E29" s="124" t="s">
        <v>89</v>
      </c>
      <c r="F29" s="125">
        <v>178.57</v>
      </c>
      <c r="G29" s="126">
        <f t="shared" si="0"/>
        <v>-725.58625000000006</v>
      </c>
      <c r="H29" s="72">
        <f t="shared" si="1"/>
        <v>0</v>
      </c>
      <c r="I29" s="73">
        <f t="shared" si="2"/>
        <v>4719.6875</v>
      </c>
      <c r="J29" s="74">
        <f t="shared" si="3"/>
        <v>-725.58625000000006</v>
      </c>
    </row>
    <row r="30" spans="2:10" s="66" customFormat="1" ht="12.75" customHeight="1" x14ac:dyDescent="0.2">
      <c r="B30" s="71">
        <f t="shared" si="4"/>
        <v>17</v>
      </c>
      <c r="C30" s="122">
        <v>192103</v>
      </c>
      <c r="D30" s="123">
        <v>43646</v>
      </c>
      <c r="E30" s="124" t="s">
        <v>90</v>
      </c>
      <c r="F30" s="125">
        <v>381.25</v>
      </c>
      <c r="G30" s="126">
        <f t="shared" si="0"/>
        <v>-344.33625000000006</v>
      </c>
      <c r="H30" s="72">
        <f t="shared" si="1"/>
        <v>0</v>
      </c>
      <c r="I30" s="73">
        <f t="shared" si="2"/>
        <v>4719.6875</v>
      </c>
      <c r="J30" s="74">
        <f t="shared" si="3"/>
        <v>-344.33625000000006</v>
      </c>
    </row>
    <row r="31" spans="2:10" s="66" customFormat="1" ht="12.75" customHeight="1" x14ac:dyDescent="0.2">
      <c r="B31" s="71">
        <f t="shared" si="4"/>
        <v>18</v>
      </c>
      <c r="C31" s="122">
        <v>192203</v>
      </c>
      <c r="D31" s="123">
        <v>43646</v>
      </c>
      <c r="E31" s="124" t="s">
        <v>91</v>
      </c>
      <c r="F31" s="125">
        <v>356.25</v>
      </c>
      <c r="G31" s="126">
        <f t="shared" si="0"/>
        <v>11.913749999999936</v>
      </c>
      <c r="H31" s="72">
        <f t="shared" si="1"/>
        <v>1</v>
      </c>
      <c r="I31" s="73">
        <f t="shared" si="2"/>
        <v>4719.6875</v>
      </c>
      <c r="J31" s="74">
        <f t="shared" si="3"/>
        <v>-4707.7737500000003</v>
      </c>
    </row>
    <row r="32" spans="2:10" s="66" customFormat="1" ht="12.75" customHeight="1" x14ac:dyDescent="0.2">
      <c r="B32" s="71">
        <f t="shared" si="4"/>
        <v>19</v>
      </c>
      <c r="C32" s="122">
        <v>181603</v>
      </c>
      <c r="D32" s="123">
        <v>43646</v>
      </c>
      <c r="E32" s="124" t="s">
        <v>92</v>
      </c>
      <c r="F32" s="125">
        <v>1334.37</v>
      </c>
      <c r="G32" s="126">
        <f t="shared" si="0"/>
        <v>-3373.4037500000004</v>
      </c>
      <c r="H32" s="72">
        <f t="shared" si="1"/>
        <v>0</v>
      </c>
      <c r="I32" s="73">
        <f t="shared" si="2"/>
        <v>4719.6875</v>
      </c>
      <c r="J32" s="74">
        <f t="shared" si="3"/>
        <v>-3373.4037500000004</v>
      </c>
    </row>
    <row r="33" spans="2:10" s="66" customFormat="1" ht="12.75" customHeight="1" x14ac:dyDescent="0.2">
      <c r="B33" s="71">
        <f t="shared" si="4"/>
        <v>20</v>
      </c>
      <c r="C33" s="122">
        <v>190903</v>
      </c>
      <c r="D33" s="123">
        <v>43646</v>
      </c>
      <c r="E33" s="124" t="s">
        <v>93</v>
      </c>
      <c r="F33" s="125">
        <v>157.5</v>
      </c>
      <c r="G33" s="126">
        <f t="shared" si="0"/>
        <v>-3215.9037500000004</v>
      </c>
      <c r="H33" s="72">
        <f t="shared" si="1"/>
        <v>0</v>
      </c>
      <c r="I33" s="73">
        <f t="shared" si="2"/>
        <v>4719.6875</v>
      </c>
      <c r="J33" s="74">
        <f t="shared" si="3"/>
        <v>-3215.9037500000004</v>
      </c>
    </row>
    <row r="34" spans="2:10" s="66" customFormat="1" ht="12.75" customHeight="1" x14ac:dyDescent="0.2">
      <c r="B34" s="71">
        <f t="shared" si="4"/>
        <v>21</v>
      </c>
      <c r="C34" s="122">
        <v>180703</v>
      </c>
      <c r="D34" s="123">
        <v>43646</v>
      </c>
      <c r="E34" s="124" t="s">
        <v>94</v>
      </c>
      <c r="F34" s="125">
        <v>293.75</v>
      </c>
      <c r="G34" s="126">
        <f t="shared" si="0"/>
        <v>-2922.1537500000004</v>
      </c>
      <c r="H34" s="72">
        <f t="shared" si="1"/>
        <v>0</v>
      </c>
      <c r="I34" s="73">
        <f t="shared" si="2"/>
        <v>4719.6875</v>
      </c>
      <c r="J34" s="74">
        <f t="shared" si="3"/>
        <v>-2922.1537500000004</v>
      </c>
    </row>
    <row r="35" spans="2:10" s="66" customFormat="1" ht="12.75" customHeight="1" x14ac:dyDescent="0.2">
      <c r="B35" s="71">
        <f t="shared" si="4"/>
        <v>22</v>
      </c>
      <c r="C35" s="122">
        <v>196203</v>
      </c>
      <c r="D35" s="123">
        <v>43677</v>
      </c>
      <c r="E35" s="124" t="s">
        <v>95</v>
      </c>
      <c r="F35" s="125">
        <v>762.5</v>
      </c>
      <c r="G35" s="126">
        <f t="shared" si="0"/>
        <v>-2159.6537500000004</v>
      </c>
      <c r="H35" s="72">
        <f t="shared" si="1"/>
        <v>0</v>
      </c>
      <c r="I35" s="73">
        <f t="shared" si="2"/>
        <v>4719.6875</v>
      </c>
      <c r="J35" s="74">
        <f t="shared" si="3"/>
        <v>-2159.6537500000004</v>
      </c>
    </row>
    <row r="36" spans="2:10" s="66" customFormat="1" ht="12.75" customHeight="1" x14ac:dyDescent="0.2">
      <c r="B36" s="71">
        <f t="shared" si="4"/>
        <v>23</v>
      </c>
      <c r="C36" s="122">
        <v>196003</v>
      </c>
      <c r="D36" s="123">
        <v>43677</v>
      </c>
      <c r="E36" s="124" t="s">
        <v>96</v>
      </c>
      <c r="F36" s="125">
        <v>1393.75</v>
      </c>
      <c r="G36" s="126">
        <f t="shared" si="0"/>
        <v>-765.9037500000004</v>
      </c>
      <c r="H36" s="72">
        <f t="shared" si="1"/>
        <v>0</v>
      </c>
      <c r="I36" s="73">
        <f t="shared" si="2"/>
        <v>4719.6875</v>
      </c>
      <c r="J36" s="74">
        <f t="shared" si="3"/>
        <v>-765.9037500000004</v>
      </c>
    </row>
    <row r="37" spans="2:10" s="66" customFormat="1" ht="12.75" customHeight="1" x14ac:dyDescent="0.2">
      <c r="B37" s="71">
        <f t="shared" si="4"/>
        <v>24</v>
      </c>
      <c r="C37" s="122">
        <v>197103</v>
      </c>
      <c r="D37" s="123">
        <v>43677</v>
      </c>
      <c r="E37" s="124" t="s">
        <v>97</v>
      </c>
      <c r="F37" s="125">
        <v>890.62</v>
      </c>
      <c r="G37" s="126">
        <f t="shared" si="0"/>
        <v>124.7162499999996</v>
      </c>
      <c r="H37" s="72">
        <f t="shared" si="1"/>
        <v>1</v>
      </c>
      <c r="I37" s="73">
        <f t="shared" si="2"/>
        <v>4719.6875</v>
      </c>
      <c r="J37" s="74">
        <f t="shared" si="3"/>
        <v>-4594.9712500000005</v>
      </c>
    </row>
    <row r="38" spans="2:10" s="66" customFormat="1" ht="12.75" customHeight="1" x14ac:dyDescent="0.2">
      <c r="B38" s="71">
        <f t="shared" si="4"/>
        <v>25</v>
      </c>
      <c r="C38" s="122">
        <v>194603</v>
      </c>
      <c r="D38" s="123">
        <v>43677</v>
      </c>
      <c r="E38" s="124" t="s">
        <v>98</v>
      </c>
      <c r="F38" s="125">
        <v>96</v>
      </c>
      <c r="G38" s="126">
        <f t="shared" si="0"/>
        <v>-4498.9712500000005</v>
      </c>
      <c r="H38" s="72">
        <f t="shared" si="1"/>
        <v>0</v>
      </c>
      <c r="I38" s="73">
        <f t="shared" si="2"/>
        <v>4719.6875</v>
      </c>
      <c r="J38" s="74">
        <f t="shared" si="3"/>
        <v>-4498.9712500000005</v>
      </c>
    </row>
    <row r="39" spans="2:10" s="66" customFormat="1" ht="12.75" customHeight="1" x14ac:dyDescent="0.2">
      <c r="B39" s="71">
        <f t="shared" si="4"/>
        <v>26</v>
      </c>
      <c r="C39" s="122">
        <v>204603</v>
      </c>
      <c r="D39" s="123">
        <v>43708</v>
      </c>
      <c r="E39" s="124" t="s">
        <v>99</v>
      </c>
      <c r="F39" s="125">
        <v>937.5</v>
      </c>
      <c r="G39" s="126">
        <f t="shared" si="0"/>
        <v>-3561.4712500000005</v>
      </c>
      <c r="H39" s="72">
        <f t="shared" si="1"/>
        <v>0</v>
      </c>
      <c r="I39" s="73">
        <f t="shared" si="2"/>
        <v>4719.6875</v>
      </c>
      <c r="J39" s="74">
        <f t="shared" si="3"/>
        <v>-3561.4712500000005</v>
      </c>
    </row>
    <row r="40" spans="2:10" s="66" customFormat="1" ht="12.75" customHeight="1" x14ac:dyDescent="0.2">
      <c r="B40" s="71">
        <f t="shared" si="4"/>
        <v>27</v>
      </c>
      <c r="C40" s="122">
        <v>214003</v>
      </c>
      <c r="D40" s="123">
        <v>43738</v>
      </c>
      <c r="E40" s="124" t="s">
        <v>100</v>
      </c>
      <c r="F40" s="125">
        <v>1184.3800000000001</v>
      </c>
      <c r="G40" s="126">
        <f t="shared" si="0"/>
        <v>-2377.0912500000004</v>
      </c>
      <c r="H40" s="72">
        <f t="shared" si="1"/>
        <v>0</v>
      </c>
      <c r="I40" s="73">
        <f t="shared" si="2"/>
        <v>4719.6875</v>
      </c>
      <c r="J40" s="74">
        <f t="shared" si="3"/>
        <v>-2377.0912500000004</v>
      </c>
    </row>
    <row r="41" spans="2:10" s="66" customFormat="1" ht="12.75" customHeight="1" x14ac:dyDescent="0.2">
      <c r="B41" s="71">
        <f t="shared" si="4"/>
        <v>28</v>
      </c>
      <c r="C41" s="122">
        <v>215303</v>
      </c>
      <c r="D41" s="123">
        <v>43769</v>
      </c>
      <c r="E41" s="124" t="s">
        <v>101</v>
      </c>
      <c r="F41" s="125">
        <v>112.5</v>
      </c>
      <c r="G41" s="126">
        <f t="shared" si="0"/>
        <v>-2264.5912500000004</v>
      </c>
      <c r="H41" s="72">
        <f t="shared" si="1"/>
        <v>0</v>
      </c>
      <c r="I41" s="73">
        <f t="shared" si="2"/>
        <v>4719.6875</v>
      </c>
      <c r="J41" s="74">
        <f t="shared" si="3"/>
        <v>-2264.5912500000004</v>
      </c>
    </row>
    <row r="42" spans="2:10" s="66" customFormat="1" ht="12.75" customHeight="1" x14ac:dyDescent="0.2">
      <c r="B42" s="71">
        <f t="shared" si="4"/>
        <v>29</v>
      </c>
      <c r="C42" s="122">
        <v>215903</v>
      </c>
      <c r="D42" s="123">
        <v>43769</v>
      </c>
      <c r="E42" s="124" t="s">
        <v>102</v>
      </c>
      <c r="F42" s="125">
        <v>812.5</v>
      </c>
      <c r="G42" s="126">
        <f t="shared" si="0"/>
        <v>-1452.0912500000004</v>
      </c>
      <c r="H42" s="72">
        <f t="shared" si="1"/>
        <v>0</v>
      </c>
      <c r="I42" s="73">
        <f t="shared" si="2"/>
        <v>4719.6875</v>
      </c>
      <c r="J42" s="74">
        <f t="shared" si="3"/>
        <v>-1452.0912500000004</v>
      </c>
    </row>
    <row r="43" spans="2:10" s="66" customFormat="1" ht="12.75" customHeight="1" x14ac:dyDescent="0.2">
      <c r="B43" s="71">
        <f t="shared" si="4"/>
        <v>30</v>
      </c>
      <c r="C43" s="122">
        <v>218903</v>
      </c>
      <c r="D43" s="123">
        <v>43799</v>
      </c>
      <c r="E43" s="124" t="s">
        <v>103</v>
      </c>
      <c r="F43" s="125">
        <v>1462.5</v>
      </c>
      <c r="G43" s="126">
        <f t="shared" si="0"/>
        <v>10.4087499999996</v>
      </c>
      <c r="H43" s="72">
        <f t="shared" si="1"/>
        <v>1</v>
      </c>
      <c r="I43" s="73">
        <f t="shared" si="2"/>
        <v>4719.6875</v>
      </c>
      <c r="J43" s="74">
        <f t="shared" si="3"/>
        <v>-4709.2787500000004</v>
      </c>
    </row>
    <row r="44" spans="2:10" s="66" customFormat="1" ht="12.75" customHeight="1" x14ac:dyDescent="0.2">
      <c r="B44" s="71">
        <f t="shared" si="4"/>
        <v>31</v>
      </c>
      <c r="C44" s="122">
        <v>138703</v>
      </c>
      <c r="D44" s="123">
        <v>43496</v>
      </c>
      <c r="E44" s="124" t="s">
        <v>104</v>
      </c>
      <c r="F44" s="125">
        <v>30</v>
      </c>
      <c r="G44" s="126">
        <f t="shared" si="0"/>
        <v>-4679.2787500000004</v>
      </c>
      <c r="H44" s="72">
        <f t="shared" si="1"/>
        <v>0</v>
      </c>
      <c r="I44" s="73">
        <f t="shared" si="2"/>
        <v>4719.6875</v>
      </c>
      <c r="J44" s="74">
        <f t="shared" si="3"/>
        <v>-4679.2787500000004</v>
      </c>
    </row>
    <row r="45" spans="2:10" s="66" customFormat="1" ht="12.75" customHeight="1" x14ac:dyDescent="0.2">
      <c r="B45" s="71">
        <f t="shared" si="4"/>
        <v>32</v>
      </c>
      <c r="C45" s="122">
        <v>138303</v>
      </c>
      <c r="D45" s="123">
        <v>43496</v>
      </c>
      <c r="E45" s="124" t="s">
        <v>105</v>
      </c>
      <c r="F45" s="125">
        <v>1300</v>
      </c>
      <c r="G45" s="126">
        <f t="shared" si="0"/>
        <v>-3379.2787500000004</v>
      </c>
      <c r="H45" s="72">
        <f t="shared" si="1"/>
        <v>0</v>
      </c>
      <c r="I45" s="73">
        <f t="shared" si="2"/>
        <v>4719.6875</v>
      </c>
      <c r="J45" s="74">
        <f t="shared" si="3"/>
        <v>-3379.2787500000004</v>
      </c>
    </row>
    <row r="46" spans="2:10" s="66" customFormat="1" ht="12.75" customHeight="1" x14ac:dyDescent="0.2">
      <c r="B46" s="71">
        <f t="shared" si="4"/>
        <v>33</v>
      </c>
      <c r="C46" s="122">
        <v>135703</v>
      </c>
      <c r="D46" s="123">
        <v>43496</v>
      </c>
      <c r="E46" s="124" t="s">
        <v>106</v>
      </c>
      <c r="F46" s="125">
        <v>1160</v>
      </c>
      <c r="G46" s="126">
        <f t="shared" si="0"/>
        <v>-2219.2787500000004</v>
      </c>
      <c r="H46" s="72">
        <f t="shared" si="1"/>
        <v>0</v>
      </c>
      <c r="I46" s="73">
        <f t="shared" si="2"/>
        <v>4719.6875</v>
      </c>
      <c r="J46" s="74">
        <f t="shared" si="3"/>
        <v>-2219.2787500000004</v>
      </c>
    </row>
    <row r="47" spans="2:10" s="66" customFormat="1" ht="12.75" customHeight="1" x14ac:dyDescent="0.2">
      <c r="B47" s="71">
        <f t="shared" si="4"/>
        <v>34</v>
      </c>
      <c r="C47" s="122">
        <v>137303</v>
      </c>
      <c r="D47" s="123">
        <v>43496</v>
      </c>
      <c r="E47" s="124" t="s">
        <v>107</v>
      </c>
      <c r="F47" s="125">
        <v>280</v>
      </c>
      <c r="G47" s="126">
        <f t="shared" si="0"/>
        <v>-1939.2787500000004</v>
      </c>
      <c r="H47" s="72">
        <f t="shared" si="1"/>
        <v>0</v>
      </c>
      <c r="I47" s="73">
        <f t="shared" si="2"/>
        <v>4719.6875</v>
      </c>
      <c r="J47" s="74">
        <f t="shared" si="3"/>
        <v>-1939.2787500000004</v>
      </c>
    </row>
    <row r="48" spans="2:10" s="66" customFormat="1" ht="12.75" customHeight="1" x14ac:dyDescent="0.2">
      <c r="B48" s="71">
        <f t="shared" si="4"/>
        <v>35</v>
      </c>
      <c r="C48" s="122">
        <v>138603</v>
      </c>
      <c r="D48" s="123">
        <v>43496</v>
      </c>
      <c r="E48" s="124" t="s">
        <v>108</v>
      </c>
      <c r="F48" s="125">
        <v>200</v>
      </c>
      <c r="G48" s="126">
        <f t="shared" si="0"/>
        <v>-1739.2787500000004</v>
      </c>
      <c r="H48" s="72">
        <f t="shared" si="1"/>
        <v>0</v>
      </c>
      <c r="I48" s="73">
        <f t="shared" si="2"/>
        <v>4719.6875</v>
      </c>
      <c r="J48" s="74">
        <f t="shared" si="3"/>
        <v>-1739.2787500000004</v>
      </c>
    </row>
    <row r="49" spans="2:10" s="66" customFormat="1" ht="12.75" customHeight="1" x14ac:dyDescent="0.2">
      <c r="B49" s="71">
        <f t="shared" si="4"/>
        <v>36</v>
      </c>
      <c r="C49" s="122">
        <v>156603</v>
      </c>
      <c r="D49" s="123">
        <v>43524</v>
      </c>
      <c r="E49" s="124" t="s">
        <v>109</v>
      </c>
      <c r="F49" s="125">
        <v>100</v>
      </c>
      <c r="G49" s="126">
        <f t="shared" si="0"/>
        <v>-1639.2787500000004</v>
      </c>
      <c r="H49" s="72">
        <f t="shared" si="1"/>
        <v>0</v>
      </c>
      <c r="I49" s="73">
        <f t="shared" si="2"/>
        <v>4719.6875</v>
      </c>
      <c r="J49" s="74">
        <f t="shared" si="3"/>
        <v>-1639.2787500000004</v>
      </c>
    </row>
    <row r="50" spans="2:10" s="66" customFormat="1" ht="12.75" customHeight="1" x14ac:dyDescent="0.2">
      <c r="B50" s="71">
        <f t="shared" si="4"/>
        <v>37</v>
      </c>
      <c r="C50" s="122">
        <v>155403</v>
      </c>
      <c r="D50" s="123">
        <v>43524</v>
      </c>
      <c r="E50" s="124" t="s">
        <v>110</v>
      </c>
      <c r="F50" s="125">
        <v>840</v>
      </c>
      <c r="G50" s="126">
        <f t="shared" si="0"/>
        <v>-799.2787500000004</v>
      </c>
      <c r="H50" s="72">
        <f t="shared" si="1"/>
        <v>0</v>
      </c>
      <c r="I50" s="73">
        <f t="shared" si="2"/>
        <v>4719.6875</v>
      </c>
      <c r="J50" s="74">
        <f t="shared" si="3"/>
        <v>-799.2787500000004</v>
      </c>
    </row>
    <row r="51" spans="2:10" s="66" customFormat="1" ht="12.75" customHeight="1" x14ac:dyDescent="0.2">
      <c r="B51" s="71">
        <f t="shared" si="4"/>
        <v>38</v>
      </c>
      <c r="C51" s="122">
        <v>150603</v>
      </c>
      <c r="D51" s="123">
        <v>43524</v>
      </c>
      <c r="E51" s="124" t="s">
        <v>111</v>
      </c>
      <c r="F51" s="125">
        <v>180</v>
      </c>
      <c r="G51" s="126">
        <f t="shared" si="0"/>
        <v>-619.2787500000004</v>
      </c>
      <c r="H51" s="72">
        <f t="shared" si="1"/>
        <v>0</v>
      </c>
      <c r="I51" s="73">
        <f t="shared" si="2"/>
        <v>4719.6875</v>
      </c>
      <c r="J51" s="74">
        <f t="shared" si="3"/>
        <v>-619.2787500000004</v>
      </c>
    </row>
    <row r="52" spans="2:10" s="66" customFormat="1" ht="12.75" customHeight="1" x14ac:dyDescent="0.2">
      <c r="B52" s="71">
        <f t="shared" si="4"/>
        <v>39</v>
      </c>
      <c r="C52" s="122">
        <v>156103</v>
      </c>
      <c r="D52" s="123">
        <v>43524</v>
      </c>
      <c r="E52" s="124" t="s">
        <v>112</v>
      </c>
      <c r="F52" s="125">
        <v>200</v>
      </c>
      <c r="G52" s="126">
        <f t="shared" si="0"/>
        <v>-419.2787500000004</v>
      </c>
      <c r="H52" s="72">
        <f t="shared" si="1"/>
        <v>0</v>
      </c>
      <c r="I52" s="73">
        <f t="shared" si="2"/>
        <v>4719.6875</v>
      </c>
      <c r="J52" s="74">
        <f t="shared" si="3"/>
        <v>-419.2787500000004</v>
      </c>
    </row>
    <row r="53" spans="2:10" s="66" customFormat="1" ht="12.75" customHeight="1" x14ac:dyDescent="0.2">
      <c r="B53" s="71">
        <f t="shared" si="4"/>
        <v>40</v>
      </c>
      <c r="C53" s="122">
        <v>150803</v>
      </c>
      <c r="D53" s="123">
        <v>43524</v>
      </c>
      <c r="E53" s="124" t="s">
        <v>113</v>
      </c>
      <c r="F53" s="125">
        <v>420</v>
      </c>
      <c r="G53" s="126">
        <f t="shared" si="0"/>
        <v>0.72124999999959982</v>
      </c>
      <c r="H53" s="72">
        <f t="shared" si="1"/>
        <v>1</v>
      </c>
      <c r="I53" s="73">
        <f t="shared" si="2"/>
        <v>4719.6875</v>
      </c>
      <c r="J53" s="74">
        <f t="shared" si="3"/>
        <v>-4718.9662500000004</v>
      </c>
    </row>
    <row r="54" spans="2:10" s="66" customFormat="1" ht="12.75" customHeight="1" x14ac:dyDescent="0.2">
      <c r="B54" s="71">
        <f t="shared" si="4"/>
        <v>41</v>
      </c>
      <c r="C54" s="122">
        <v>152303</v>
      </c>
      <c r="D54" s="123">
        <v>43524</v>
      </c>
      <c r="E54" s="124" t="s">
        <v>114</v>
      </c>
      <c r="F54" s="125">
        <v>130</v>
      </c>
      <c r="G54" s="126">
        <f t="shared" si="0"/>
        <v>-4588.9662500000004</v>
      </c>
      <c r="H54" s="72">
        <f t="shared" si="1"/>
        <v>0</v>
      </c>
      <c r="I54" s="73">
        <f t="shared" si="2"/>
        <v>4719.6875</v>
      </c>
      <c r="J54" s="74">
        <f t="shared" si="3"/>
        <v>-4588.9662500000004</v>
      </c>
    </row>
    <row r="55" spans="2:10" s="66" customFormat="1" ht="12.75" customHeight="1" x14ac:dyDescent="0.2">
      <c r="B55" s="71">
        <f t="shared" si="4"/>
        <v>42</v>
      </c>
      <c r="C55" s="122">
        <v>154803</v>
      </c>
      <c r="D55" s="123">
        <v>43524</v>
      </c>
      <c r="E55" s="124" t="s">
        <v>115</v>
      </c>
      <c r="F55" s="125">
        <v>800</v>
      </c>
      <c r="G55" s="126">
        <f t="shared" si="0"/>
        <v>-3788.9662500000004</v>
      </c>
      <c r="H55" s="72">
        <f t="shared" si="1"/>
        <v>0</v>
      </c>
      <c r="I55" s="73">
        <f t="shared" si="2"/>
        <v>4719.6875</v>
      </c>
      <c r="J55" s="74">
        <f t="shared" si="3"/>
        <v>-3788.9662500000004</v>
      </c>
    </row>
    <row r="56" spans="2:10" s="66" customFormat="1" ht="12.75" customHeight="1" x14ac:dyDescent="0.2">
      <c r="B56" s="71">
        <f t="shared" si="4"/>
        <v>43</v>
      </c>
      <c r="C56" s="122">
        <v>152503</v>
      </c>
      <c r="D56" s="123">
        <v>43524</v>
      </c>
      <c r="E56" s="124" t="s">
        <v>116</v>
      </c>
      <c r="F56" s="125">
        <v>130</v>
      </c>
      <c r="G56" s="126">
        <f t="shared" si="0"/>
        <v>-3658.9662500000004</v>
      </c>
      <c r="H56" s="72">
        <f t="shared" si="1"/>
        <v>0</v>
      </c>
      <c r="I56" s="73">
        <f t="shared" si="2"/>
        <v>4719.6875</v>
      </c>
      <c r="J56" s="74">
        <f t="shared" si="3"/>
        <v>-3658.9662500000004</v>
      </c>
    </row>
    <row r="57" spans="2:10" s="66" customFormat="1" ht="12.75" customHeight="1" x14ac:dyDescent="0.2">
      <c r="B57" s="71">
        <f t="shared" si="4"/>
        <v>44</v>
      </c>
      <c r="C57" s="122">
        <v>152703</v>
      </c>
      <c r="D57" s="123">
        <v>43524</v>
      </c>
      <c r="E57" s="124" t="s">
        <v>117</v>
      </c>
      <c r="F57" s="125">
        <v>130</v>
      </c>
      <c r="G57" s="126">
        <f t="shared" si="0"/>
        <v>-3528.9662500000004</v>
      </c>
      <c r="H57" s="72">
        <f t="shared" si="1"/>
        <v>0</v>
      </c>
      <c r="I57" s="73">
        <f t="shared" si="2"/>
        <v>4719.6875</v>
      </c>
      <c r="J57" s="74">
        <f t="shared" si="3"/>
        <v>-3528.9662500000004</v>
      </c>
    </row>
    <row r="58" spans="2:10" s="66" customFormat="1" ht="12.75" customHeight="1" x14ac:dyDescent="0.2">
      <c r="B58" s="71">
        <f t="shared" si="4"/>
        <v>45</v>
      </c>
      <c r="C58" s="122">
        <v>160303</v>
      </c>
      <c r="D58" s="123">
        <v>43555</v>
      </c>
      <c r="E58" s="124" t="s">
        <v>118</v>
      </c>
      <c r="F58" s="125">
        <v>50</v>
      </c>
      <c r="G58" s="126">
        <f t="shared" si="0"/>
        <v>-3478.9662500000004</v>
      </c>
      <c r="H58" s="72">
        <f t="shared" si="1"/>
        <v>0</v>
      </c>
      <c r="I58" s="73">
        <f t="shared" si="2"/>
        <v>4719.6875</v>
      </c>
      <c r="J58" s="74">
        <f t="shared" si="3"/>
        <v>-3478.9662500000004</v>
      </c>
    </row>
    <row r="59" spans="2:10" s="66" customFormat="1" ht="12.75" customHeight="1" x14ac:dyDescent="0.2">
      <c r="B59" s="71">
        <f t="shared" si="4"/>
        <v>46</v>
      </c>
      <c r="C59" s="122">
        <v>159503</v>
      </c>
      <c r="D59" s="123">
        <v>43555</v>
      </c>
      <c r="E59" s="124" t="s">
        <v>119</v>
      </c>
      <c r="F59" s="125">
        <v>800</v>
      </c>
      <c r="G59" s="126">
        <f t="shared" si="0"/>
        <v>-2678.9662500000004</v>
      </c>
      <c r="H59" s="72">
        <f t="shared" si="1"/>
        <v>0</v>
      </c>
      <c r="I59" s="73">
        <f t="shared" si="2"/>
        <v>4719.6875</v>
      </c>
      <c r="J59" s="74">
        <f t="shared" si="3"/>
        <v>-2678.9662500000004</v>
      </c>
    </row>
    <row r="60" spans="2:10" s="66" customFormat="1" ht="12.75" customHeight="1" x14ac:dyDescent="0.2">
      <c r="B60" s="71">
        <f t="shared" si="4"/>
        <v>47</v>
      </c>
      <c r="C60" s="122">
        <v>157103</v>
      </c>
      <c r="D60" s="123">
        <v>43555</v>
      </c>
      <c r="E60" s="124" t="s">
        <v>120</v>
      </c>
      <c r="F60" s="125">
        <v>180</v>
      </c>
      <c r="G60" s="126">
        <f t="shared" si="0"/>
        <v>-2498.9662500000004</v>
      </c>
      <c r="H60" s="72">
        <f t="shared" si="1"/>
        <v>0</v>
      </c>
      <c r="I60" s="73">
        <f t="shared" si="2"/>
        <v>4719.6875</v>
      </c>
      <c r="J60" s="74">
        <f t="shared" si="3"/>
        <v>-2498.9662500000004</v>
      </c>
    </row>
    <row r="61" spans="2:10" s="66" customFormat="1" ht="12.75" customHeight="1" x14ac:dyDescent="0.2">
      <c r="B61" s="71">
        <f t="shared" si="4"/>
        <v>48</v>
      </c>
      <c r="C61" s="122">
        <v>157203</v>
      </c>
      <c r="D61" s="123">
        <v>43555</v>
      </c>
      <c r="E61" s="124" t="s">
        <v>121</v>
      </c>
      <c r="F61" s="125">
        <v>840</v>
      </c>
      <c r="G61" s="126">
        <f t="shared" si="0"/>
        <v>-1658.9662500000004</v>
      </c>
      <c r="H61" s="72">
        <f t="shared" si="1"/>
        <v>0</v>
      </c>
      <c r="I61" s="73">
        <f t="shared" si="2"/>
        <v>4719.6875</v>
      </c>
      <c r="J61" s="74">
        <f t="shared" si="3"/>
        <v>-1658.9662500000004</v>
      </c>
    </row>
    <row r="62" spans="2:10" s="66" customFormat="1" ht="12.75" customHeight="1" x14ac:dyDescent="0.2">
      <c r="B62" s="71">
        <f t="shared" si="4"/>
        <v>49</v>
      </c>
      <c r="C62" s="122">
        <v>157303</v>
      </c>
      <c r="D62" s="123">
        <v>43555</v>
      </c>
      <c r="E62" s="124" t="s">
        <v>122</v>
      </c>
      <c r="F62" s="125">
        <v>240</v>
      </c>
      <c r="G62" s="126">
        <f t="shared" si="0"/>
        <v>-1418.9662500000004</v>
      </c>
      <c r="H62" s="72">
        <f t="shared" si="1"/>
        <v>0</v>
      </c>
      <c r="I62" s="73">
        <f t="shared" si="2"/>
        <v>4719.6875</v>
      </c>
      <c r="J62" s="74">
        <f t="shared" si="3"/>
        <v>-1418.9662500000004</v>
      </c>
    </row>
    <row r="63" spans="2:10" s="66" customFormat="1" ht="12.75" customHeight="1" x14ac:dyDescent="0.2">
      <c r="B63" s="71">
        <f t="shared" si="4"/>
        <v>50</v>
      </c>
      <c r="C63" s="122">
        <v>157603</v>
      </c>
      <c r="D63" s="123">
        <v>43555</v>
      </c>
      <c r="E63" s="124" t="s">
        <v>123</v>
      </c>
      <c r="F63" s="125">
        <v>960</v>
      </c>
      <c r="G63" s="126">
        <f t="shared" si="0"/>
        <v>-458.9662500000004</v>
      </c>
      <c r="H63" s="72">
        <f t="shared" si="1"/>
        <v>0</v>
      </c>
      <c r="I63" s="73">
        <f t="shared" si="2"/>
        <v>4719.6875</v>
      </c>
      <c r="J63" s="74">
        <f t="shared" si="3"/>
        <v>-458.9662500000004</v>
      </c>
    </row>
    <row r="64" spans="2:10" s="66" customFormat="1" ht="12.75" customHeight="1" x14ac:dyDescent="0.2">
      <c r="B64" s="71">
        <f t="shared" si="4"/>
        <v>51</v>
      </c>
      <c r="C64" s="122">
        <v>160203</v>
      </c>
      <c r="D64" s="123">
        <v>43555</v>
      </c>
      <c r="E64" s="124" t="s">
        <v>124</v>
      </c>
      <c r="F64" s="125">
        <v>130</v>
      </c>
      <c r="G64" s="126">
        <f t="shared" si="0"/>
        <v>-328.9662500000004</v>
      </c>
      <c r="H64" s="72">
        <f t="shared" si="1"/>
        <v>0</v>
      </c>
      <c r="I64" s="73">
        <f t="shared" si="2"/>
        <v>4719.6875</v>
      </c>
      <c r="J64" s="74">
        <f t="shared" si="3"/>
        <v>-328.9662500000004</v>
      </c>
    </row>
    <row r="65" spans="2:10" s="66" customFormat="1" ht="12.75" customHeight="1" x14ac:dyDescent="0.2">
      <c r="B65" s="71">
        <f t="shared" si="4"/>
        <v>52</v>
      </c>
      <c r="C65" s="122">
        <v>161103</v>
      </c>
      <c r="D65" s="123">
        <v>43555</v>
      </c>
      <c r="E65" s="124" t="s">
        <v>125</v>
      </c>
      <c r="F65" s="125">
        <v>1500</v>
      </c>
      <c r="G65" s="126">
        <f t="shared" si="0"/>
        <v>1171.0337499999996</v>
      </c>
      <c r="H65" s="72">
        <f t="shared" si="1"/>
        <v>1</v>
      </c>
      <c r="I65" s="73">
        <f t="shared" si="2"/>
        <v>4719.6875</v>
      </c>
      <c r="J65" s="74">
        <f t="shared" si="3"/>
        <v>-3548.6537500000004</v>
      </c>
    </row>
    <row r="66" spans="2:10" s="66" customFormat="1" ht="12.75" customHeight="1" x14ac:dyDescent="0.2">
      <c r="B66" s="71">
        <f t="shared" si="4"/>
        <v>53</v>
      </c>
      <c r="C66" s="122">
        <v>161303</v>
      </c>
      <c r="D66" s="123">
        <v>43555</v>
      </c>
      <c r="E66" s="124" t="s">
        <v>126</v>
      </c>
      <c r="F66" s="125">
        <v>100</v>
      </c>
      <c r="G66" s="126">
        <f t="shared" si="0"/>
        <v>-3448.6537500000004</v>
      </c>
      <c r="H66" s="72">
        <f t="shared" si="1"/>
        <v>0</v>
      </c>
      <c r="I66" s="73">
        <f t="shared" si="2"/>
        <v>4719.6875</v>
      </c>
      <c r="J66" s="74">
        <f t="shared" si="3"/>
        <v>-3448.6537500000004</v>
      </c>
    </row>
    <row r="67" spans="2:10" s="66" customFormat="1" ht="12.75" customHeight="1" x14ac:dyDescent="0.2">
      <c r="B67" s="71">
        <f t="shared" si="4"/>
        <v>54</v>
      </c>
      <c r="C67" s="122">
        <v>157003</v>
      </c>
      <c r="D67" s="123">
        <v>43555</v>
      </c>
      <c r="E67" s="124" t="s">
        <v>127</v>
      </c>
      <c r="F67" s="125">
        <v>440</v>
      </c>
      <c r="G67" s="126">
        <f t="shared" si="0"/>
        <v>-3008.6537500000004</v>
      </c>
      <c r="H67" s="72">
        <f t="shared" si="1"/>
        <v>0</v>
      </c>
      <c r="I67" s="73">
        <f t="shared" si="2"/>
        <v>4719.6875</v>
      </c>
      <c r="J67" s="74">
        <f t="shared" si="3"/>
        <v>-3008.6537500000004</v>
      </c>
    </row>
    <row r="68" spans="2:10" s="66" customFormat="1" ht="12.75" customHeight="1" x14ac:dyDescent="0.2">
      <c r="B68" s="71">
        <f t="shared" si="4"/>
        <v>55</v>
      </c>
      <c r="C68" s="122">
        <v>159703</v>
      </c>
      <c r="D68" s="123">
        <v>43555</v>
      </c>
      <c r="E68" s="124" t="s">
        <v>128</v>
      </c>
      <c r="F68" s="125">
        <v>400</v>
      </c>
      <c r="G68" s="126">
        <f t="shared" si="0"/>
        <v>-2608.6537500000004</v>
      </c>
      <c r="H68" s="72">
        <f t="shared" si="1"/>
        <v>0</v>
      </c>
      <c r="I68" s="73">
        <f t="shared" si="2"/>
        <v>4719.6875</v>
      </c>
      <c r="J68" s="74">
        <f t="shared" si="3"/>
        <v>-2608.6537500000004</v>
      </c>
    </row>
    <row r="69" spans="2:10" s="66" customFormat="1" ht="12.75" customHeight="1" x14ac:dyDescent="0.2">
      <c r="B69" s="71">
        <f t="shared" si="4"/>
        <v>56</v>
      </c>
      <c r="C69" s="122">
        <v>170303</v>
      </c>
      <c r="D69" s="123">
        <v>43585</v>
      </c>
      <c r="E69" s="124" t="s">
        <v>129</v>
      </c>
      <c r="F69" s="125">
        <v>650</v>
      </c>
      <c r="G69" s="126">
        <f t="shared" si="0"/>
        <v>-1958.6537500000004</v>
      </c>
      <c r="H69" s="72">
        <f t="shared" si="1"/>
        <v>0</v>
      </c>
      <c r="I69" s="73">
        <f t="shared" si="2"/>
        <v>4719.6875</v>
      </c>
      <c r="J69" s="74">
        <f t="shared" si="3"/>
        <v>-1958.6537500000004</v>
      </c>
    </row>
    <row r="70" spans="2:10" s="66" customFormat="1" ht="12.75" customHeight="1" x14ac:dyDescent="0.2">
      <c r="B70" s="71">
        <f t="shared" si="4"/>
        <v>57</v>
      </c>
      <c r="C70" s="122">
        <v>166203</v>
      </c>
      <c r="D70" s="123">
        <v>43585</v>
      </c>
      <c r="E70" s="124" t="s">
        <v>130</v>
      </c>
      <c r="F70" s="125">
        <v>48</v>
      </c>
      <c r="G70" s="126">
        <f t="shared" si="0"/>
        <v>-1910.6537500000004</v>
      </c>
      <c r="H70" s="72">
        <f t="shared" si="1"/>
        <v>0</v>
      </c>
      <c r="I70" s="73">
        <f t="shared" si="2"/>
        <v>4719.6875</v>
      </c>
      <c r="J70" s="74">
        <f t="shared" si="3"/>
        <v>-1910.6537500000004</v>
      </c>
    </row>
    <row r="71" spans="2:10" s="66" customFormat="1" ht="12.75" customHeight="1" x14ac:dyDescent="0.2">
      <c r="B71" s="71">
        <f t="shared" si="4"/>
        <v>58</v>
      </c>
      <c r="C71" s="122">
        <v>170103</v>
      </c>
      <c r="D71" s="123">
        <v>43585</v>
      </c>
      <c r="E71" s="124" t="s">
        <v>131</v>
      </c>
      <c r="F71" s="125">
        <v>1280</v>
      </c>
      <c r="G71" s="126">
        <f t="shared" si="0"/>
        <v>-630.6537500000004</v>
      </c>
      <c r="H71" s="72">
        <f t="shared" si="1"/>
        <v>0</v>
      </c>
      <c r="I71" s="73">
        <f t="shared" si="2"/>
        <v>4719.6875</v>
      </c>
      <c r="J71" s="74">
        <f t="shared" si="3"/>
        <v>-630.6537500000004</v>
      </c>
    </row>
    <row r="72" spans="2:10" s="66" customFormat="1" ht="12.75" customHeight="1" x14ac:dyDescent="0.2">
      <c r="B72" s="71">
        <f t="shared" si="4"/>
        <v>59</v>
      </c>
      <c r="C72" s="122">
        <v>170203</v>
      </c>
      <c r="D72" s="123">
        <v>43585</v>
      </c>
      <c r="E72" s="124" t="s">
        <v>132</v>
      </c>
      <c r="F72" s="125">
        <v>955</v>
      </c>
      <c r="G72" s="126">
        <f t="shared" si="0"/>
        <v>324.3462499999996</v>
      </c>
      <c r="H72" s="72">
        <f t="shared" si="1"/>
        <v>1</v>
      </c>
      <c r="I72" s="73">
        <f t="shared" si="2"/>
        <v>4719.6875</v>
      </c>
      <c r="J72" s="74">
        <f t="shared" si="3"/>
        <v>-4395.3412500000004</v>
      </c>
    </row>
    <row r="73" spans="2:10" s="66" customFormat="1" ht="12.75" customHeight="1" x14ac:dyDescent="0.2">
      <c r="B73" s="71">
        <f t="shared" si="4"/>
        <v>60</v>
      </c>
      <c r="C73" s="122">
        <v>168503</v>
      </c>
      <c r="D73" s="123">
        <v>43585</v>
      </c>
      <c r="E73" s="124" t="s">
        <v>133</v>
      </c>
      <c r="F73" s="125">
        <v>296.87</v>
      </c>
      <c r="G73" s="126">
        <f t="shared" si="0"/>
        <v>-4098.4712500000005</v>
      </c>
      <c r="H73" s="72">
        <f t="shared" si="1"/>
        <v>0</v>
      </c>
      <c r="I73" s="73">
        <f t="shared" si="2"/>
        <v>4719.6875</v>
      </c>
      <c r="J73" s="74">
        <f t="shared" si="3"/>
        <v>-4098.4712500000005</v>
      </c>
    </row>
    <row r="74" spans="2:10" s="66" customFormat="1" ht="12.75" customHeight="1" x14ac:dyDescent="0.2">
      <c r="B74" s="71">
        <f t="shared" si="4"/>
        <v>61</v>
      </c>
      <c r="C74" s="122">
        <v>167803</v>
      </c>
      <c r="D74" s="123">
        <v>43585</v>
      </c>
      <c r="E74" s="124" t="s">
        <v>134</v>
      </c>
      <c r="F74" s="125">
        <v>780</v>
      </c>
      <c r="G74" s="126">
        <f t="shared" si="0"/>
        <v>-3318.4712500000005</v>
      </c>
      <c r="H74" s="72">
        <f t="shared" si="1"/>
        <v>0</v>
      </c>
      <c r="I74" s="73">
        <f t="shared" si="2"/>
        <v>4719.6875</v>
      </c>
      <c r="J74" s="74">
        <f t="shared" si="3"/>
        <v>-3318.4712500000005</v>
      </c>
    </row>
    <row r="75" spans="2:10" s="66" customFormat="1" ht="12.75" customHeight="1" x14ac:dyDescent="0.2">
      <c r="B75" s="71">
        <f t="shared" si="4"/>
        <v>62</v>
      </c>
      <c r="C75" s="122">
        <v>171303</v>
      </c>
      <c r="D75" s="123">
        <v>43585</v>
      </c>
      <c r="E75" s="124" t="s">
        <v>135</v>
      </c>
      <c r="F75" s="125">
        <v>144</v>
      </c>
      <c r="G75" s="126">
        <f t="shared" si="0"/>
        <v>-3174.4712500000005</v>
      </c>
      <c r="H75" s="72">
        <f t="shared" si="1"/>
        <v>0</v>
      </c>
      <c r="I75" s="73">
        <f t="shared" si="2"/>
        <v>4719.6875</v>
      </c>
      <c r="J75" s="74">
        <f t="shared" si="3"/>
        <v>-3174.4712500000005</v>
      </c>
    </row>
    <row r="76" spans="2:10" s="66" customFormat="1" ht="12.75" customHeight="1" x14ac:dyDescent="0.2">
      <c r="B76" s="71">
        <f t="shared" si="4"/>
        <v>63</v>
      </c>
      <c r="C76" s="122">
        <v>166503</v>
      </c>
      <c r="D76" s="123">
        <v>43585</v>
      </c>
      <c r="E76" s="124" t="s">
        <v>136</v>
      </c>
      <c r="F76" s="125">
        <v>288</v>
      </c>
      <c r="G76" s="126">
        <f t="shared" si="0"/>
        <v>-2886.4712500000005</v>
      </c>
      <c r="H76" s="72">
        <f t="shared" si="1"/>
        <v>0</v>
      </c>
      <c r="I76" s="73">
        <f t="shared" si="2"/>
        <v>4719.6875</v>
      </c>
      <c r="J76" s="74">
        <f t="shared" si="3"/>
        <v>-2886.4712500000005</v>
      </c>
    </row>
    <row r="77" spans="2:10" s="66" customFormat="1" ht="12.75" customHeight="1" x14ac:dyDescent="0.2">
      <c r="B77" s="71">
        <f t="shared" si="4"/>
        <v>64</v>
      </c>
      <c r="C77" s="122">
        <v>166303</v>
      </c>
      <c r="D77" s="123">
        <v>43585</v>
      </c>
      <c r="E77" s="124" t="s">
        <v>137</v>
      </c>
      <c r="F77" s="125">
        <v>48</v>
      </c>
      <c r="G77" s="126">
        <f t="shared" si="0"/>
        <v>-2838.4712500000005</v>
      </c>
      <c r="H77" s="72">
        <f t="shared" si="1"/>
        <v>0</v>
      </c>
      <c r="I77" s="73">
        <f t="shared" si="2"/>
        <v>4719.6875</v>
      </c>
      <c r="J77" s="74">
        <f t="shared" si="3"/>
        <v>-2838.4712500000005</v>
      </c>
    </row>
    <row r="78" spans="2:10" s="66" customFormat="1" ht="12.75" customHeight="1" x14ac:dyDescent="0.2">
      <c r="B78" s="71">
        <f t="shared" si="4"/>
        <v>65</v>
      </c>
      <c r="C78" s="122">
        <v>167603</v>
      </c>
      <c r="D78" s="123">
        <v>43585</v>
      </c>
      <c r="E78" s="124" t="s">
        <v>138</v>
      </c>
      <c r="F78" s="125">
        <v>1000</v>
      </c>
      <c r="G78" s="126">
        <f t="shared" ref="G78:G141" si="5">F78+J77</f>
        <v>-1838.4712500000005</v>
      </c>
      <c r="H78" s="72">
        <f t="shared" ref="H78:H141" si="6">IF(G78&gt;0,ROUND(G78/I78+0.5,0),0)</f>
        <v>0</v>
      </c>
      <c r="I78" s="73">
        <f t="shared" ref="I78:I141" si="7">$C$10</f>
        <v>4719.6875</v>
      </c>
      <c r="J78" s="74">
        <f t="shared" ref="J78:J141" si="8">G78-(H78*I78)</f>
        <v>-1838.4712500000005</v>
      </c>
    </row>
    <row r="79" spans="2:10" s="66" customFormat="1" ht="12.75" customHeight="1" x14ac:dyDescent="0.2">
      <c r="B79" s="71">
        <f t="shared" ref="B79:B142" si="9">+B78+1</f>
        <v>66</v>
      </c>
      <c r="C79" s="122">
        <v>167003</v>
      </c>
      <c r="D79" s="123">
        <v>43585</v>
      </c>
      <c r="E79" s="124" t="s">
        <v>139</v>
      </c>
      <c r="F79" s="125">
        <v>120</v>
      </c>
      <c r="G79" s="126">
        <f t="shared" si="5"/>
        <v>-1718.4712500000005</v>
      </c>
      <c r="H79" s="72">
        <f t="shared" si="6"/>
        <v>0</v>
      </c>
      <c r="I79" s="73">
        <f t="shared" si="7"/>
        <v>4719.6875</v>
      </c>
      <c r="J79" s="74">
        <f t="shared" si="8"/>
        <v>-1718.4712500000005</v>
      </c>
    </row>
    <row r="80" spans="2:10" s="66" customFormat="1" ht="12.75" customHeight="1" x14ac:dyDescent="0.2">
      <c r="B80" s="71">
        <f t="shared" si="9"/>
        <v>67</v>
      </c>
      <c r="C80" s="122">
        <v>166103</v>
      </c>
      <c r="D80" s="123">
        <v>43585</v>
      </c>
      <c r="E80" s="124" t="s">
        <v>140</v>
      </c>
      <c r="F80" s="125">
        <v>96</v>
      </c>
      <c r="G80" s="126">
        <f t="shared" si="5"/>
        <v>-1622.4712500000005</v>
      </c>
      <c r="H80" s="72">
        <f t="shared" si="6"/>
        <v>0</v>
      </c>
      <c r="I80" s="73">
        <f t="shared" si="7"/>
        <v>4719.6875</v>
      </c>
      <c r="J80" s="74">
        <f t="shared" si="8"/>
        <v>-1622.4712500000005</v>
      </c>
    </row>
    <row r="81" spans="2:10" s="66" customFormat="1" ht="12.75" customHeight="1" x14ac:dyDescent="0.2">
      <c r="B81" s="71">
        <f t="shared" si="9"/>
        <v>68</v>
      </c>
      <c r="C81" s="122">
        <v>166003</v>
      </c>
      <c r="D81" s="123">
        <v>43585</v>
      </c>
      <c r="E81" s="124" t="s">
        <v>141</v>
      </c>
      <c r="F81" s="125">
        <v>144</v>
      </c>
      <c r="G81" s="126">
        <f t="shared" si="5"/>
        <v>-1478.4712500000005</v>
      </c>
      <c r="H81" s="72">
        <f t="shared" si="6"/>
        <v>0</v>
      </c>
      <c r="I81" s="73">
        <f t="shared" si="7"/>
        <v>4719.6875</v>
      </c>
      <c r="J81" s="74">
        <f t="shared" si="8"/>
        <v>-1478.4712500000005</v>
      </c>
    </row>
    <row r="82" spans="2:10" s="66" customFormat="1" ht="12.75" customHeight="1" x14ac:dyDescent="0.2">
      <c r="B82" s="71">
        <f t="shared" si="9"/>
        <v>69</v>
      </c>
      <c r="C82" s="122">
        <v>165903</v>
      </c>
      <c r="D82" s="123">
        <v>43585</v>
      </c>
      <c r="E82" s="124" t="s">
        <v>142</v>
      </c>
      <c r="F82" s="125">
        <v>48</v>
      </c>
      <c r="G82" s="126">
        <f t="shared" si="5"/>
        <v>-1430.4712500000005</v>
      </c>
      <c r="H82" s="72">
        <f t="shared" si="6"/>
        <v>0</v>
      </c>
      <c r="I82" s="73">
        <f t="shared" si="7"/>
        <v>4719.6875</v>
      </c>
      <c r="J82" s="74">
        <f t="shared" si="8"/>
        <v>-1430.4712500000005</v>
      </c>
    </row>
    <row r="83" spans="2:10" s="66" customFormat="1" ht="12.75" customHeight="1" x14ac:dyDescent="0.2">
      <c r="B83" s="71">
        <f t="shared" si="9"/>
        <v>70</v>
      </c>
      <c r="C83" s="122">
        <v>165703</v>
      </c>
      <c r="D83" s="123">
        <v>43585</v>
      </c>
      <c r="E83" s="124" t="s">
        <v>143</v>
      </c>
      <c r="F83" s="125">
        <v>1000</v>
      </c>
      <c r="G83" s="126">
        <f t="shared" si="5"/>
        <v>-430.47125000000051</v>
      </c>
      <c r="H83" s="72">
        <f t="shared" si="6"/>
        <v>0</v>
      </c>
      <c r="I83" s="73">
        <f t="shared" si="7"/>
        <v>4719.6875</v>
      </c>
      <c r="J83" s="74">
        <f t="shared" si="8"/>
        <v>-430.47125000000051</v>
      </c>
    </row>
    <row r="84" spans="2:10" s="66" customFormat="1" ht="12.75" customHeight="1" x14ac:dyDescent="0.2">
      <c r="B84" s="71">
        <f t="shared" si="9"/>
        <v>71</v>
      </c>
      <c r="C84" s="122">
        <v>168103</v>
      </c>
      <c r="D84" s="123">
        <v>43585</v>
      </c>
      <c r="E84" s="124" t="s">
        <v>144</v>
      </c>
      <c r="F84" s="125">
        <v>420</v>
      </c>
      <c r="G84" s="126">
        <f t="shared" si="5"/>
        <v>-10.471250000000509</v>
      </c>
      <c r="H84" s="72">
        <f t="shared" si="6"/>
        <v>0</v>
      </c>
      <c r="I84" s="73">
        <f t="shared" si="7"/>
        <v>4719.6875</v>
      </c>
      <c r="J84" s="74">
        <f t="shared" si="8"/>
        <v>-10.471250000000509</v>
      </c>
    </row>
    <row r="85" spans="2:10" s="66" customFormat="1" ht="12.75" customHeight="1" x14ac:dyDescent="0.2">
      <c r="B85" s="71">
        <f t="shared" si="9"/>
        <v>72</v>
      </c>
      <c r="C85" s="122">
        <v>173503</v>
      </c>
      <c r="D85" s="123">
        <v>43616</v>
      </c>
      <c r="E85" s="124" t="s">
        <v>145</v>
      </c>
      <c r="F85" s="125">
        <v>720</v>
      </c>
      <c r="G85" s="126">
        <f t="shared" si="5"/>
        <v>709.52874999999949</v>
      </c>
      <c r="H85" s="72">
        <f t="shared" si="6"/>
        <v>1</v>
      </c>
      <c r="I85" s="73">
        <f t="shared" si="7"/>
        <v>4719.6875</v>
      </c>
      <c r="J85" s="74">
        <f t="shared" si="8"/>
        <v>-4010.1587500000005</v>
      </c>
    </row>
    <row r="86" spans="2:10" s="66" customFormat="1" ht="12.75" customHeight="1" x14ac:dyDescent="0.2">
      <c r="B86" s="71">
        <f t="shared" si="9"/>
        <v>73</v>
      </c>
      <c r="C86" s="122">
        <v>175803</v>
      </c>
      <c r="D86" s="123">
        <v>43616</v>
      </c>
      <c r="E86" s="124" t="s">
        <v>146</v>
      </c>
      <c r="F86" s="125">
        <v>2000</v>
      </c>
      <c r="G86" s="126">
        <f t="shared" si="5"/>
        <v>-2010.1587500000005</v>
      </c>
      <c r="H86" s="72">
        <f t="shared" si="6"/>
        <v>0</v>
      </c>
      <c r="I86" s="73">
        <f t="shared" si="7"/>
        <v>4719.6875</v>
      </c>
      <c r="J86" s="74">
        <f t="shared" si="8"/>
        <v>-2010.1587500000005</v>
      </c>
    </row>
    <row r="87" spans="2:10" s="66" customFormat="1" ht="12.75" customHeight="1" x14ac:dyDescent="0.2">
      <c r="B87" s="71">
        <f t="shared" si="9"/>
        <v>74</v>
      </c>
      <c r="C87" s="122">
        <v>176103</v>
      </c>
      <c r="D87" s="123">
        <v>43616</v>
      </c>
      <c r="E87" s="124" t="s">
        <v>147</v>
      </c>
      <c r="F87" s="125">
        <v>440</v>
      </c>
      <c r="G87" s="126">
        <f t="shared" si="5"/>
        <v>-1570.1587500000005</v>
      </c>
      <c r="H87" s="72">
        <f t="shared" si="6"/>
        <v>0</v>
      </c>
      <c r="I87" s="73">
        <f t="shared" si="7"/>
        <v>4719.6875</v>
      </c>
      <c r="J87" s="74">
        <f t="shared" si="8"/>
        <v>-1570.1587500000005</v>
      </c>
    </row>
    <row r="88" spans="2:10" s="66" customFormat="1" ht="12.75" customHeight="1" x14ac:dyDescent="0.2">
      <c r="B88" s="71">
        <f t="shared" si="9"/>
        <v>75</v>
      </c>
      <c r="C88" s="122">
        <v>173903</v>
      </c>
      <c r="D88" s="123">
        <v>43616</v>
      </c>
      <c r="E88" s="124" t="s">
        <v>148</v>
      </c>
      <c r="F88" s="125">
        <v>500</v>
      </c>
      <c r="G88" s="126">
        <f t="shared" si="5"/>
        <v>-1070.1587500000005</v>
      </c>
      <c r="H88" s="72">
        <f t="shared" si="6"/>
        <v>0</v>
      </c>
      <c r="I88" s="73">
        <f t="shared" si="7"/>
        <v>4719.6875</v>
      </c>
      <c r="J88" s="74">
        <f t="shared" si="8"/>
        <v>-1070.1587500000005</v>
      </c>
    </row>
    <row r="89" spans="2:10" s="66" customFormat="1" ht="12.75" customHeight="1" x14ac:dyDescent="0.2">
      <c r="B89" s="71">
        <f t="shared" si="9"/>
        <v>76</v>
      </c>
      <c r="C89" s="122">
        <v>175703</v>
      </c>
      <c r="D89" s="123">
        <v>43616</v>
      </c>
      <c r="E89" s="124" t="s">
        <v>149</v>
      </c>
      <c r="F89" s="125">
        <v>450</v>
      </c>
      <c r="G89" s="126">
        <f t="shared" si="5"/>
        <v>-620.15875000000051</v>
      </c>
      <c r="H89" s="72">
        <f t="shared" si="6"/>
        <v>0</v>
      </c>
      <c r="I89" s="73">
        <f t="shared" si="7"/>
        <v>4719.6875</v>
      </c>
      <c r="J89" s="74">
        <f t="shared" si="8"/>
        <v>-620.15875000000051</v>
      </c>
    </row>
    <row r="90" spans="2:10" s="66" customFormat="1" ht="12.75" customHeight="1" x14ac:dyDescent="0.2">
      <c r="B90" s="71">
        <f t="shared" si="9"/>
        <v>77</v>
      </c>
      <c r="C90" s="122">
        <v>173403</v>
      </c>
      <c r="D90" s="123">
        <v>43616</v>
      </c>
      <c r="E90" s="124" t="s">
        <v>150</v>
      </c>
      <c r="F90" s="125">
        <v>1000</v>
      </c>
      <c r="G90" s="126">
        <f t="shared" si="5"/>
        <v>379.84124999999949</v>
      </c>
      <c r="H90" s="72">
        <f t="shared" si="6"/>
        <v>1</v>
      </c>
      <c r="I90" s="73">
        <f t="shared" si="7"/>
        <v>4719.6875</v>
      </c>
      <c r="J90" s="74">
        <f t="shared" si="8"/>
        <v>-4339.8462500000005</v>
      </c>
    </row>
    <row r="91" spans="2:10" s="66" customFormat="1" ht="12.75" customHeight="1" x14ac:dyDescent="0.2">
      <c r="B91" s="71">
        <f t="shared" si="9"/>
        <v>78</v>
      </c>
      <c r="C91" s="122">
        <v>173303</v>
      </c>
      <c r="D91" s="123">
        <v>43616</v>
      </c>
      <c r="E91" s="124" t="s">
        <v>151</v>
      </c>
      <c r="F91" s="125">
        <v>110</v>
      </c>
      <c r="G91" s="126">
        <f t="shared" si="5"/>
        <v>-4229.8462500000005</v>
      </c>
      <c r="H91" s="72">
        <f t="shared" si="6"/>
        <v>0</v>
      </c>
      <c r="I91" s="73">
        <f t="shared" si="7"/>
        <v>4719.6875</v>
      </c>
      <c r="J91" s="74">
        <f t="shared" si="8"/>
        <v>-4229.8462500000005</v>
      </c>
    </row>
    <row r="92" spans="2:10" s="66" customFormat="1" ht="12.75" customHeight="1" x14ac:dyDescent="0.2">
      <c r="B92" s="71">
        <f t="shared" si="9"/>
        <v>79</v>
      </c>
      <c r="C92" s="122">
        <v>176003</v>
      </c>
      <c r="D92" s="123">
        <v>43616</v>
      </c>
      <c r="E92" s="124" t="s">
        <v>152</v>
      </c>
      <c r="F92" s="125">
        <v>2000</v>
      </c>
      <c r="G92" s="126">
        <f t="shared" si="5"/>
        <v>-2229.8462500000005</v>
      </c>
      <c r="H92" s="72">
        <f t="shared" si="6"/>
        <v>0</v>
      </c>
      <c r="I92" s="73">
        <f t="shared" si="7"/>
        <v>4719.6875</v>
      </c>
      <c r="J92" s="74">
        <f t="shared" si="8"/>
        <v>-2229.8462500000005</v>
      </c>
    </row>
    <row r="93" spans="2:10" s="66" customFormat="1" ht="12.75" customHeight="1" x14ac:dyDescent="0.2">
      <c r="B93" s="71">
        <f t="shared" si="9"/>
        <v>80</v>
      </c>
      <c r="C93" s="122">
        <v>173603</v>
      </c>
      <c r="D93" s="123">
        <v>43616</v>
      </c>
      <c r="E93" s="124" t="s">
        <v>153</v>
      </c>
      <c r="F93" s="125">
        <v>2000</v>
      </c>
      <c r="G93" s="126">
        <f t="shared" si="5"/>
        <v>-229.84625000000051</v>
      </c>
      <c r="H93" s="72">
        <f t="shared" si="6"/>
        <v>0</v>
      </c>
      <c r="I93" s="73">
        <f t="shared" si="7"/>
        <v>4719.6875</v>
      </c>
      <c r="J93" s="74">
        <f t="shared" si="8"/>
        <v>-229.84625000000051</v>
      </c>
    </row>
    <row r="94" spans="2:10" s="66" customFormat="1" ht="12.75" customHeight="1" x14ac:dyDescent="0.2">
      <c r="B94" s="71">
        <f t="shared" si="9"/>
        <v>81</v>
      </c>
      <c r="C94" s="122"/>
      <c r="D94" s="123">
        <v>43616</v>
      </c>
      <c r="E94" s="124" t="s">
        <v>154</v>
      </c>
      <c r="F94" s="125">
        <v>5.75</v>
      </c>
      <c r="G94" s="126">
        <f t="shared" si="5"/>
        <v>-224.09625000000051</v>
      </c>
      <c r="H94" s="72">
        <f t="shared" si="6"/>
        <v>0</v>
      </c>
      <c r="I94" s="73">
        <f t="shared" si="7"/>
        <v>4719.6875</v>
      </c>
      <c r="J94" s="74">
        <f t="shared" si="8"/>
        <v>-224.09625000000051</v>
      </c>
    </row>
    <row r="95" spans="2:10" s="66" customFormat="1" ht="12.75" customHeight="1" x14ac:dyDescent="0.2">
      <c r="B95" s="71">
        <f t="shared" si="9"/>
        <v>82</v>
      </c>
      <c r="C95" s="122">
        <v>182303</v>
      </c>
      <c r="D95" s="123">
        <v>43646</v>
      </c>
      <c r="E95" s="124" t="s">
        <v>155</v>
      </c>
      <c r="F95" s="125">
        <v>130</v>
      </c>
      <c r="G95" s="126">
        <f t="shared" si="5"/>
        <v>-94.096250000000509</v>
      </c>
      <c r="H95" s="72">
        <f t="shared" si="6"/>
        <v>0</v>
      </c>
      <c r="I95" s="73">
        <f t="shared" si="7"/>
        <v>4719.6875</v>
      </c>
      <c r="J95" s="74">
        <f t="shared" si="8"/>
        <v>-94.096250000000509</v>
      </c>
    </row>
    <row r="96" spans="2:10" s="66" customFormat="1" ht="12.75" customHeight="1" x14ac:dyDescent="0.2">
      <c r="B96" s="71">
        <f t="shared" si="9"/>
        <v>83</v>
      </c>
      <c r="C96" s="122">
        <v>188503</v>
      </c>
      <c r="D96" s="123">
        <v>43646</v>
      </c>
      <c r="E96" s="124" t="s">
        <v>156</v>
      </c>
      <c r="F96" s="125">
        <v>96</v>
      </c>
      <c r="G96" s="126">
        <f t="shared" si="5"/>
        <v>1.9037499999994907</v>
      </c>
      <c r="H96" s="72">
        <f t="shared" si="6"/>
        <v>1</v>
      </c>
      <c r="I96" s="73">
        <f t="shared" si="7"/>
        <v>4719.6875</v>
      </c>
      <c r="J96" s="74">
        <f t="shared" si="8"/>
        <v>-4717.7837500000005</v>
      </c>
    </row>
    <row r="97" spans="2:10" s="66" customFormat="1" ht="12.75" customHeight="1" x14ac:dyDescent="0.2">
      <c r="B97" s="71">
        <f t="shared" si="9"/>
        <v>84</v>
      </c>
      <c r="C97" s="122">
        <v>191503</v>
      </c>
      <c r="D97" s="123">
        <v>43646</v>
      </c>
      <c r="E97" s="124" t="s">
        <v>157</v>
      </c>
      <c r="F97" s="125">
        <v>100</v>
      </c>
      <c r="G97" s="126">
        <f t="shared" si="5"/>
        <v>-4617.7837500000005</v>
      </c>
      <c r="H97" s="72">
        <f t="shared" si="6"/>
        <v>0</v>
      </c>
      <c r="I97" s="73">
        <f t="shared" si="7"/>
        <v>4719.6875</v>
      </c>
      <c r="J97" s="74">
        <f t="shared" si="8"/>
        <v>-4617.7837500000005</v>
      </c>
    </row>
    <row r="98" spans="2:10" s="66" customFormat="1" ht="12.75" customHeight="1" x14ac:dyDescent="0.2">
      <c r="B98" s="71">
        <f t="shared" si="9"/>
        <v>85</v>
      </c>
      <c r="C98" s="122">
        <v>181503</v>
      </c>
      <c r="D98" s="123">
        <v>43646</v>
      </c>
      <c r="E98" s="124" t="s">
        <v>158</v>
      </c>
      <c r="F98" s="125">
        <v>2000</v>
      </c>
      <c r="G98" s="126">
        <f t="shared" si="5"/>
        <v>-2617.7837500000005</v>
      </c>
      <c r="H98" s="72">
        <f t="shared" si="6"/>
        <v>0</v>
      </c>
      <c r="I98" s="73">
        <f t="shared" si="7"/>
        <v>4719.6875</v>
      </c>
      <c r="J98" s="74">
        <f t="shared" si="8"/>
        <v>-2617.7837500000005</v>
      </c>
    </row>
    <row r="99" spans="2:10" s="66" customFormat="1" ht="12.75" customHeight="1" x14ac:dyDescent="0.2">
      <c r="B99" s="71">
        <f t="shared" si="9"/>
        <v>86</v>
      </c>
      <c r="C99" s="122">
        <v>185003</v>
      </c>
      <c r="D99" s="123">
        <v>43646</v>
      </c>
      <c r="E99" s="124" t="s">
        <v>159</v>
      </c>
      <c r="F99" s="125">
        <v>2500</v>
      </c>
      <c r="G99" s="126">
        <f t="shared" si="5"/>
        <v>-117.78375000000051</v>
      </c>
      <c r="H99" s="72">
        <f t="shared" si="6"/>
        <v>0</v>
      </c>
      <c r="I99" s="73">
        <f t="shared" si="7"/>
        <v>4719.6875</v>
      </c>
      <c r="J99" s="74">
        <f t="shared" si="8"/>
        <v>-117.78375000000051</v>
      </c>
    </row>
    <row r="100" spans="2:10" s="66" customFormat="1" ht="12.75" customHeight="1" x14ac:dyDescent="0.2">
      <c r="B100" s="71">
        <f t="shared" si="9"/>
        <v>87</v>
      </c>
      <c r="C100" s="122">
        <v>189003</v>
      </c>
      <c r="D100" s="123">
        <v>43646</v>
      </c>
      <c r="E100" s="124" t="s">
        <v>160</v>
      </c>
      <c r="F100" s="125">
        <v>142</v>
      </c>
      <c r="G100" s="126">
        <f t="shared" si="5"/>
        <v>24.216249999999491</v>
      </c>
      <c r="H100" s="72">
        <f t="shared" si="6"/>
        <v>1</v>
      </c>
      <c r="I100" s="73">
        <f t="shared" si="7"/>
        <v>4719.6875</v>
      </c>
      <c r="J100" s="74">
        <f t="shared" si="8"/>
        <v>-4695.4712500000005</v>
      </c>
    </row>
    <row r="101" spans="2:10" s="66" customFormat="1" ht="12.75" customHeight="1" x14ac:dyDescent="0.2">
      <c r="B101" s="71">
        <f t="shared" si="9"/>
        <v>88</v>
      </c>
      <c r="C101" s="122">
        <v>187203</v>
      </c>
      <c r="D101" s="123">
        <v>43646</v>
      </c>
      <c r="E101" s="124" t="s">
        <v>161</v>
      </c>
      <c r="F101" s="125">
        <v>2147.5</v>
      </c>
      <c r="G101" s="126">
        <f t="shared" si="5"/>
        <v>-2547.9712500000005</v>
      </c>
      <c r="H101" s="72">
        <f t="shared" si="6"/>
        <v>0</v>
      </c>
      <c r="I101" s="73">
        <f t="shared" si="7"/>
        <v>4719.6875</v>
      </c>
      <c r="J101" s="74">
        <f t="shared" si="8"/>
        <v>-2547.9712500000005</v>
      </c>
    </row>
    <row r="102" spans="2:10" s="66" customFormat="1" ht="12.75" customHeight="1" x14ac:dyDescent="0.2">
      <c r="B102" s="71">
        <f t="shared" si="9"/>
        <v>89</v>
      </c>
      <c r="C102" s="122">
        <v>187303</v>
      </c>
      <c r="D102" s="123">
        <v>43646</v>
      </c>
      <c r="E102" s="124" t="s">
        <v>162</v>
      </c>
      <c r="F102" s="125">
        <v>2000</v>
      </c>
      <c r="G102" s="126">
        <f t="shared" si="5"/>
        <v>-547.97125000000051</v>
      </c>
      <c r="H102" s="72">
        <f t="shared" si="6"/>
        <v>0</v>
      </c>
      <c r="I102" s="73">
        <f t="shared" si="7"/>
        <v>4719.6875</v>
      </c>
      <c r="J102" s="74">
        <f t="shared" si="8"/>
        <v>-547.97125000000051</v>
      </c>
    </row>
    <row r="103" spans="2:10" s="66" customFormat="1" ht="12.75" customHeight="1" x14ac:dyDescent="0.2">
      <c r="B103" s="71">
        <f t="shared" si="9"/>
        <v>90</v>
      </c>
      <c r="C103" s="122">
        <v>188903</v>
      </c>
      <c r="D103" s="123">
        <v>43646</v>
      </c>
      <c r="E103" s="124" t="s">
        <v>163</v>
      </c>
      <c r="F103" s="125">
        <v>48</v>
      </c>
      <c r="G103" s="126">
        <f t="shared" si="5"/>
        <v>-499.97125000000051</v>
      </c>
      <c r="H103" s="72">
        <f t="shared" si="6"/>
        <v>0</v>
      </c>
      <c r="I103" s="73">
        <f t="shared" si="7"/>
        <v>4719.6875</v>
      </c>
      <c r="J103" s="74">
        <f t="shared" si="8"/>
        <v>-499.97125000000051</v>
      </c>
    </row>
    <row r="104" spans="2:10" s="66" customFormat="1" ht="12.75" customHeight="1" x14ac:dyDescent="0.2">
      <c r="B104" s="71">
        <f t="shared" si="9"/>
        <v>91</v>
      </c>
      <c r="C104" s="122">
        <v>179703</v>
      </c>
      <c r="D104" s="123">
        <v>43646</v>
      </c>
      <c r="E104" s="124" t="s">
        <v>164</v>
      </c>
      <c r="F104" s="125">
        <v>1720</v>
      </c>
      <c r="G104" s="126">
        <f t="shared" si="5"/>
        <v>1220.0287499999995</v>
      </c>
      <c r="H104" s="72">
        <f t="shared" si="6"/>
        <v>1</v>
      </c>
      <c r="I104" s="73">
        <f t="shared" si="7"/>
        <v>4719.6875</v>
      </c>
      <c r="J104" s="74">
        <f t="shared" si="8"/>
        <v>-3499.6587500000005</v>
      </c>
    </row>
    <row r="105" spans="2:10" s="66" customFormat="1" ht="12.75" customHeight="1" x14ac:dyDescent="0.2">
      <c r="B105" s="71">
        <f t="shared" si="9"/>
        <v>92</v>
      </c>
      <c r="C105" s="122">
        <v>179603</v>
      </c>
      <c r="D105" s="123">
        <v>43646</v>
      </c>
      <c r="E105" s="124" t="s">
        <v>165</v>
      </c>
      <c r="F105" s="125">
        <v>1940</v>
      </c>
      <c r="G105" s="126">
        <f t="shared" si="5"/>
        <v>-1559.6587500000005</v>
      </c>
      <c r="H105" s="72">
        <f t="shared" si="6"/>
        <v>0</v>
      </c>
      <c r="I105" s="73">
        <f t="shared" si="7"/>
        <v>4719.6875</v>
      </c>
      <c r="J105" s="74">
        <f t="shared" si="8"/>
        <v>-1559.6587500000005</v>
      </c>
    </row>
    <row r="106" spans="2:10" s="66" customFormat="1" ht="12.75" customHeight="1" x14ac:dyDescent="0.2">
      <c r="B106" s="71">
        <f t="shared" si="9"/>
        <v>93</v>
      </c>
      <c r="C106" s="122">
        <v>183303</v>
      </c>
      <c r="D106" s="123">
        <v>43646</v>
      </c>
      <c r="E106" s="124" t="s">
        <v>166</v>
      </c>
      <c r="F106" s="125">
        <v>480</v>
      </c>
      <c r="G106" s="126">
        <f t="shared" si="5"/>
        <v>-1079.6587500000005</v>
      </c>
      <c r="H106" s="72">
        <f t="shared" si="6"/>
        <v>0</v>
      </c>
      <c r="I106" s="73">
        <f t="shared" si="7"/>
        <v>4719.6875</v>
      </c>
      <c r="J106" s="74">
        <f t="shared" si="8"/>
        <v>-1079.6587500000005</v>
      </c>
    </row>
    <row r="107" spans="2:10" s="66" customFormat="1" ht="12.75" customHeight="1" x14ac:dyDescent="0.2">
      <c r="B107" s="71">
        <f t="shared" si="9"/>
        <v>94</v>
      </c>
      <c r="C107" s="122">
        <v>185703</v>
      </c>
      <c r="D107" s="123">
        <v>43646</v>
      </c>
      <c r="E107" s="124" t="s">
        <v>167</v>
      </c>
      <c r="F107" s="125">
        <v>1325</v>
      </c>
      <c r="G107" s="126">
        <f t="shared" si="5"/>
        <v>245.34124999999949</v>
      </c>
      <c r="H107" s="72">
        <f t="shared" si="6"/>
        <v>1</v>
      </c>
      <c r="I107" s="73">
        <f t="shared" si="7"/>
        <v>4719.6875</v>
      </c>
      <c r="J107" s="74">
        <f t="shared" si="8"/>
        <v>-4474.3462500000005</v>
      </c>
    </row>
    <row r="108" spans="2:10" s="66" customFormat="1" ht="12.75" customHeight="1" x14ac:dyDescent="0.2">
      <c r="B108" s="71">
        <f t="shared" si="9"/>
        <v>95</v>
      </c>
      <c r="C108" s="122">
        <v>185803</v>
      </c>
      <c r="D108" s="123">
        <v>43646</v>
      </c>
      <c r="E108" s="124" t="s">
        <v>168</v>
      </c>
      <c r="F108" s="125">
        <v>2500</v>
      </c>
      <c r="G108" s="126">
        <f t="shared" si="5"/>
        <v>-1974.3462500000005</v>
      </c>
      <c r="H108" s="72">
        <f t="shared" si="6"/>
        <v>0</v>
      </c>
      <c r="I108" s="73">
        <f t="shared" si="7"/>
        <v>4719.6875</v>
      </c>
      <c r="J108" s="74">
        <f t="shared" si="8"/>
        <v>-1974.3462500000005</v>
      </c>
    </row>
    <row r="109" spans="2:10" s="66" customFormat="1" ht="12.75" customHeight="1" x14ac:dyDescent="0.2">
      <c r="B109" s="71">
        <f t="shared" si="9"/>
        <v>96</v>
      </c>
      <c r="C109" s="122">
        <v>180003</v>
      </c>
      <c r="D109" s="123">
        <v>43646</v>
      </c>
      <c r="E109" s="124" t="s">
        <v>169</v>
      </c>
      <c r="F109" s="125">
        <v>380</v>
      </c>
      <c r="G109" s="126">
        <f t="shared" si="5"/>
        <v>-1594.3462500000005</v>
      </c>
      <c r="H109" s="72">
        <f t="shared" si="6"/>
        <v>0</v>
      </c>
      <c r="I109" s="73">
        <f t="shared" si="7"/>
        <v>4719.6875</v>
      </c>
      <c r="J109" s="74">
        <f t="shared" si="8"/>
        <v>-1594.3462500000005</v>
      </c>
    </row>
    <row r="110" spans="2:10" s="66" customFormat="1" ht="12.75" customHeight="1" x14ac:dyDescent="0.2">
      <c r="B110" s="71">
        <f t="shared" si="9"/>
        <v>97</v>
      </c>
      <c r="C110" s="122">
        <v>187703</v>
      </c>
      <c r="D110" s="123">
        <v>43646</v>
      </c>
      <c r="E110" s="124" t="s">
        <v>170</v>
      </c>
      <c r="F110" s="125">
        <v>96</v>
      </c>
      <c r="G110" s="126">
        <f t="shared" si="5"/>
        <v>-1498.3462500000005</v>
      </c>
      <c r="H110" s="72">
        <f t="shared" si="6"/>
        <v>0</v>
      </c>
      <c r="I110" s="73">
        <f t="shared" si="7"/>
        <v>4719.6875</v>
      </c>
      <c r="J110" s="74">
        <f t="shared" si="8"/>
        <v>-1498.3462500000005</v>
      </c>
    </row>
    <row r="111" spans="2:10" s="66" customFormat="1" ht="12.75" customHeight="1" x14ac:dyDescent="0.2">
      <c r="B111" s="71">
        <f t="shared" si="9"/>
        <v>98</v>
      </c>
      <c r="C111" s="122">
        <v>187803</v>
      </c>
      <c r="D111" s="123">
        <v>43646</v>
      </c>
      <c r="E111" s="124" t="s">
        <v>171</v>
      </c>
      <c r="F111" s="125">
        <v>240</v>
      </c>
      <c r="G111" s="126">
        <f t="shared" si="5"/>
        <v>-1258.3462500000005</v>
      </c>
      <c r="H111" s="72">
        <f t="shared" si="6"/>
        <v>0</v>
      </c>
      <c r="I111" s="73">
        <f t="shared" si="7"/>
        <v>4719.6875</v>
      </c>
      <c r="J111" s="74">
        <f t="shared" si="8"/>
        <v>-1258.3462500000005</v>
      </c>
    </row>
    <row r="112" spans="2:10" s="66" customFormat="1" ht="12.75" customHeight="1" x14ac:dyDescent="0.2">
      <c r="B112" s="71">
        <f t="shared" si="9"/>
        <v>99</v>
      </c>
      <c r="C112" s="122">
        <v>185103</v>
      </c>
      <c r="D112" s="123">
        <v>43646</v>
      </c>
      <c r="E112" s="124" t="s">
        <v>172</v>
      </c>
      <c r="F112" s="125">
        <v>220</v>
      </c>
      <c r="G112" s="126">
        <f t="shared" si="5"/>
        <v>-1038.3462500000005</v>
      </c>
      <c r="H112" s="72">
        <f t="shared" si="6"/>
        <v>0</v>
      </c>
      <c r="I112" s="73">
        <f t="shared" si="7"/>
        <v>4719.6875</v>
      </c>
      <c r="J112" s="74">
        <f t="shared" si="8"/>
        <v>-1038.3462500000005</v>
      </c>
    </row>
    <row r="113" spans="2:10" s="66" customFormat="1" ht="12.75" customHeight="1" x14ac:dyDescent="0.2">
      <c r="B113" s="71">
        <f t="shared" si="9"/>
        <v>100</v>
      </c>
      <c r="C113" s="122">
        <v>185203</v>
      </c>
      <c r="D113" s="123">
        <v>43646</v>
      </c>
      <c r="E113" s="124" t="s">
        <v>173</v>
      </c>
      <c r="F113" s="125">
        <v>1604.16</v>
      </c>
      <c r="G113" s="126">
        <f t="shared" si="5"/>
        <v>565.81374999999957</v>
      </c>
      <c r="H113" s="72">
        <f t="shared" si="6"/>
        <v>1</v>
      </c>
      <c r="I113" s="73">
        <f t="shared" si="7"/>
        <v>4719.6875</v>
      </c>
      <c r="J113" s="74">
        <f t="shared" si="8"/>
        <v>-4153.8737500000007</v>
      </c>
    </row>
    <row r="114" spans="2:10" s="66" customFormat="1" ht="12.75" customHeight="1" x14ac:dyDescent="0.2">
      <c r="B114" s="71">
        <f t="shared" si="9"/>
        <v>101</v>
      </c>
      <c r="C114" s="122">
        <v>191403</v>
      </c>
      <c r="D114" s="123">
        <v>43646</v>
      </c>
      <c r="E114" s="124" t="s">
        <v>174</v>
      </c>
      <c r="F114" s="125">
        <v>640</v>
      </c>
      <c r="G114" s="126">
        <f t="shared" si="5"/>
        <v>-3513.8737500000007</v>
      </c>
      <c r="H114" s="72">
        <f t="shared" si="6"/>
        <v>0</v>
      </c>
      <c r="I114" s="73">
        <f t="shared" si="7"/>
        <v>4719.6875</v>
      </c>
      <c r="J114" s="74">
        <f t="shared" si="8"/>
        <v>-3513.8737500000007</v>
      </c>
    </row>
    <row r="115" spans="2:10" s="66" customFormat="1" ht="12.75" customHeight="1" x14ac:dyDescent="0.2">
      <c r="B115" s="71">
        <f t="shared" si="9"/>
        <v>102</v>
      </c>
      <c r="C115" s="122">
        <v>184603</v>
      </c>
      <c r="D115" s="123">
        <v>43646</v>
      </c>
      <c r="E115" s="124" t="s">
        <v>175</v>
      </c>
      <c r="F115" s="125">
        <v>30</v>
      </c>
      <c r="G115" s="126">
        <f t="shared" si="5"/>
        <v>-3483.8737500000007</v>
      </c>
      <c r="H115" s="72">
        <f t="shared" si="6"/>
        <v>0</v>
      </c>
      <c r="I115" s="73">
        <f t="shared" si="7"/>
        <v>4719.6875</v>
      </c>
      <c r="J115" s="74">
        <f t="shared" si="8"/>
        <v>-3483.8737500000007</v>
      </c>
    </row>
    <row r="116" spans="2:10" s="66" customFormat="1" ht="12.75" customHeight="1" x14ac:dyDescent="0.2">
      <c r="B116" s="71">
        <f t="shared" si="9"/>
        <v>103</v>
      </c>
      <c r="C116" s="122">
        <v>195903</v>
      </c>
      <c r="D116" s="123">
        <v>43677</v>
      </c>
      <c r="E116" s="124" t="s">
        <v>176</v>
      </c>
      <c r="F116" s="125">
        <v>300</v>
      </c>
      <c r="G116" s="126">
        <f t="shared" si="5"/>
        <v>-3183.8737500000007</v>
      </c>
      <c r="H116" s="72">
        <f t="shared" si="6"/>
        <v>0</v>
      </c>
      <c r="I116" s="73">
        <f t="shared" si="7"/>
        <v>4719.6875</v>
      </c>
      <c r="J116" s="74">
        <f t="shared" si="8"/>
        <v>-3183.8737500000007</v>
      </c>
    </row>
    <row r="117" spans="2:10" s="66" customFormat="1" ht="12.75" customHeight="1" x14ac:dyDescent="0.2">
      <c r="B117" s="71">
        <f t="shared" si="9"/>
        <v>104</v>
      </c>
      <c r="C117" s="122">
        <v>194003</v>
      </c>
      <c r="D117" s="123">
        <v>43677</v>
      </c>
      <c r="E117" s="124" t="s">
        <v>177</v>
      </c>
      <c r="F117" s="125">
        <v>550</v>
      </c>
      <c r="G117" s="126">
        <f t="shared" si="5"/>
        <v>-2633.8737500000007</v>
      </c>
      <c r="H117" s="72">
        <f t="shared" si="6"/>
        <v>0</v>
      </c>
      <c r="I117" s="73">
        <f t="shared" si="7"/>
        <v>4719.6875</v>
      </c>
      <c r="J117" s="74">
        <f t="shared" si="8"/>
        <v>-2633.8737500000007</v>
      </c>
    </row>
    <row r="118" spans="2:10" s="66" customFormat="1" ht="12.75" customHeight="1" x14ac:dyDescent="0.2">
      <c r="B118" s="71">
        <f t="shared" si="9"/>
        <v>105</v>
      </c>
      <c r="C118" s="122">
        <v>195603</v>
      </c>
      <c r="D118" s="123">
        <v>43677</v>
      </c>
      <c r="E118" s="124" t="s">
        <v>178</v>
      </c>
      <c r="F118" s="125">
        <v>130</v>
      </c>
      <c r="G118" s="126">
        <f t="shared" si="5"/>
        <v>-2503.8737500000007</v>
      </c>
      <c r="H118" s="72">
        <f t="shared" si="6"/>
        <v>0</v>
      </c>
      <c r="I118" s="73">
        <f t="shared" si="7"/>
        <v>4719.6875</v>
      </c>
      <c r="J118" s="74">
        <f t="shared" si="8"/>
        <v>-2503.8737500000007</v>
      </c>
    </row>
    <row r="119" spans="2:10" s="66" customFormat="1" ht="12.75" customHeight="1" x14ac:dyDescent="0.2">
      <c r="B119" s="71">
        <f t="shared" si="9"/>
        <v>106</v>
      </c>
      <c r="C119" s="122">
        <v>195303</v>
      </c>
      <c r="D119" s="123">
        <v>43677</v>
      </c>
      <c r="E119" s="124" t="s">
        <v>179</v>
      </c>
      <c r="F119" s="125">
        <v>100</v>
      </c>
      <c r="G119" s="126">
        <f t="shared" si="5"/>
        <v>-2403.8737500000007</v>
      </c>
      <c r="H119" s="72">
        <f t="shared" si="6"/>
        <v>0</v>
      </c>
      <c r="I119" s="73">
        <f t="shared" si="7"/>
        <v>4719.6875</v>
      </c>
      <c r="J119" s="74">
        <f t="shared" si="8"/>
        <v>-2403.8737500000007</v>
      </c>
    </row>
    <row r="120" spans="2:10" s="66" customFormat="1" ht="12.75" customHeight="1" x14ac:dyDescent="0.2">
      <c r="B120" s="71">
        <f t="shared" si="9"/>
        <v>107</v>
      </c>
      <c r="C120" s="122">
        <v>203503</v>
      </c>
      <c r="D120" s="123">
        <v>43708</v>
      </c>
      <c r="E120" s="124" t="s">
        <v>180</v>
      </c>
      <c r="F120" s="125">
        <v>1070</v>
      </c>
      <c r="G120" s="126">
        <f t="shared" si="5"/>
        <v>-1333.8737500000007</v>
      </c>
      <c r="H120" s="72">
        <f t="shared" si="6"/>
        <v>0</v>
      </c>
      <c r="I120" s="73">
        <f t="shared" si="7"/>
        <v>4719.6875</v>
      </c>
      <c r="J120" s="74">
        <f t="shared" si="8"/>
        <v>-1333.8737500000007</v>
      </c>
    </row>
    <row r="121" spans="2:10" s="66" customFormat="1" ht="12.75" customHeight="1" x14ac:dyDescent="0.2">
      <c r="B121" s="71">
        <f t="shared" si="9"/>
        <v>108</v>
      </c>
      <c r="C121" s="122">
        <v>203803</v>
      </c>
      <c r="D121" s="123">
        <v>43708</v>
      </c>
      <c r="E121" s="124" t="s">
        <v>181</v>
      </c>
      <c r="F121" s="125">
        <v>96</v>
      </c>
      <c r="G121" s="126">
        <f t="shared" si="5"/>
        <v>-1237.8737500000007</v>
      </c>
      <c r="H121" s="72">
        <f t="shared" si="6"/>
        <v>0</v>
      </c>
      <c r="I121" s="73">
        <f t="shared" si="7"/>
        <v>4719.6875</v>
      </c>
      <c r="J121" s="74">
        <f t="shared" si="8"/>
        <v>-1237.8737500000007</v>
      </c>
    </row>
    <row r="122" spans="2:10" s="66" customFormat="1" ht="12.75" customHeight="1" x14ac:dyDescent="0.2">
      <c r="B122" s="71">
        <f t="shared" si="9"/>
        <v>109</v>
      </c>
      <c r="C122" s="122">
        <v>205803</v>
      </c>
      <c r="D122" s="123">
        <v>43708</v>
      </c>
      <c r="E122" s="124" t="s">
        <v>182</v>
      </c>
      <c r="F122" s="125">
        <v>546.87</v>
      </c>
      <c r="G122" s="126">
        <f t="shared" si="5"/>
        <v>-691.00375000000065</v>
      </c>
      <c r="H122" s="72">
        <f t="shared" si="6"/>
        <v>0</v>
      </c>
      <c r="I122" s="73">
        <f t="shared" si="7"/>
        <v>4719.6875</v>
      </c>
      <c r="J122" s="74">
        <f t="shared" si="8"/>
        <v>-691.00375000000065</v>
      </c>
    </row>
    <row r="123" spans="2:10" s="66" customFormat="1" ht="12.75" customHeight="1" x14ac:dyDescent="0.2">
      <c r="B123" s="71">
        <f t="shared" si="9"/>
        <v>110</v>
      </c>
      <c r="C123" s="122">
        <v>205703</v>
      </c>
      <c r="D123" s="123">
        <v>43708</v>
      </c>
      <c r="E123" s="124" t="s">
        <v>183</v>
      </c>
      <c r="F123" s="125">
        <v>731.25</v>
      </c>
      <c r="G123" s="126">
        <f t="shared" si="5"/>
        <v>40.24624999999935</v>
      </c>
      <c r="H123" s="72">
        <f t="shared" si="6"/>
        <v>1</v>
      </c>
      <c r="I123" s="73">
        <f t="shared" si="7"/>
        <v>4719.6875</v>
      </c>
      <c r="J123" s="74">
        <f t="shared" si="8"/>
        <v>-4679.4412500000008</v>
      </c>
    </row>
    <row r="124" spans="2:10" s="66" customFormat="1" x14ac:dyDescent="0.2">
      <c r="B124" s="71">
        <f t="shared" si="9"/>
        <v>111</v>
      </c>
      <c r="C124" s="122">
        <v>205603</v>
      </c>
      <c r="D124" s="123">
        <v>43708</v>
      </c>
      <c r="E124" s="124" t="s">
        <v>184</v>
      </c>
      <c r="F124" s="125">
        <v>400</v>
      </c>
      <c r="G124" s="126">
        <f t="shared" si="5"/>
        <v>-4279.4412500000008</v>
      </c>
      <c r="H124" s="72">
        <f t="shared" si="6"/>
        <v>0</v>
      </c>
      <c r="I124" s="73">
        <f t="shared" si="7"/>
        <v>4719.6875</v>
      </c>
      <c r="J124" s="74">
        <f t="shared" si="8"/>
        <v>-4279.4412500000008</v>
      </c>
    </row>
    <row r="125" spans="2:10" s="66" customFormat="1" ht="12.75" customHeight="1" x14ac:dyDescent="0.2">
      <c r="B125" s="71">
        <f t="shared" si="9"/>
        <v>112</v>
      </c>
      <c r="C125" s="122">
        <v>203603</v>
      </c>
      <c r="D125" s="123">
        <v>43708</v>
      </c>
      <c r="E125" s="124" t="s">
        <v>185</v>
      </c>
      <c r="F125" s="125">
        <v>1037.5</v>
      </c>
      <c r="G125" s="126">
        <f t="shared" si="5"/>
        <v>-3241.9412500000008</v>
      </c>
      <c r="H125" s="72">
        <f t="shared" si="6"/>
        <v>0</v>
      </c>
      <c r="I125" s="73">
        <f t="shared" si="7"/>
        <v>4719.6875</v>
      </c>
      <c r="J125" s="74">
        <f t="shared" si="8"/>
        <v>-3241.9412500000008</v>
      </c>
    </row>
    <row r="126" spans="2:10" s="66" customFormat="1" ht="12.75" customHeight="1" x14ac:dyDescent="0.2">
      <c r="B126" s="71">
        <f t="shared" si="9"/>
        <v>113</v>
      </c>
      <c r="C126" s="122">
        <v>202903</v>
      </c>
      <c r="D126" s="123">
        <v>43708</v>
      </c>
      <c r="E126" s="124" t="s">
        <v>186</v>
      </c>
      <c r="F126" s="125">
        <v>1000</v>
      </c>
      <c r="G126" s="126">
        <f t="shared" si="5"/>
        <v>-2241.9412500000008</v>
      </c>
      <c r="H126" s="72">
        <f t="shared" si="6"/>
        <v>0</v>
      </c>
      <c r="I126" s="73">
        <f t="shared" si="7"/>
        <v>4719.6875</v>
      </c>
      <c r="J126" s="74">
        <f t="shared" si="8"/>
        <v>-2241.9412500000008</v>
      </c>
    </row>
    <row r="127" spans="2:10" s="66" customFormat="1" ht="12.75" customHeight="1" x14ac:dyDescent="0.2">
      <c r="B127" s="71">
        <f t="shared" si="9"/>
        <v>114</v>
      </c>
      <c r="C127" s="122">
        <v>203203</v>
      </c>
      <c r="D127" s="123">
        <v>43708</v>
      </c>
      <c r="E127" s="124" t="s">
        <v>187</v>
      </c>
      <c r="F127" s="125">
        <v>210</v>
      </c>
      <c r="G127" s="126">
        <f t="shared" si="5"/>
        <v>-2031.9412500000008</v>
      </c>
      <c r="H127" s="72">
        <f t="shared" si="6"/>
        <v>0</v>
      </c>
      <c r="I127" s="73">
        <f t="shared" si="7"/>
        <v>4719.6875</v>
      </c>
      <c r="J127" s="74">
        <f t="shared" si="8"/>
        <v>-2031.9412500000008</v>
      </c>
    </row>
    <row r="128" spans="2:10" s="66" customFormat="1" ht="12.75" customHeight="1" x14ac:dyDescent="0.2">
      <c r="B128" s="71">
        <f t="shared" si="9"/>
        <v>115</v>
      </c>
      <c r="C128" s="122">
        <v>203403</v>
      </c>
      <c r="D128" s="123">
        <v>43708</v>
      </c>
      <c r="E128" s="124" t="s">
        <v>188</v>
      </c>
      <c r="F128" s="125">
        <v>940</v>
      </c>
      <c r="G128" s="126">
        <f t="shared" si="5"/>
        <v>-1091.9412500000008</v>
      </c>
      <c r="H128" s="72">
        <f t="shared" si="6"/>
        <v>0</v>
      </c>
      <c r="I128" s="73">
        <f t="shared" si="7"/>
        <v>4719.6875</v>
      </c>
      <c r="J128" s="74">
        <f t="shared" si="8"/>
        <v>-1091.9412500000008</v>
      </c>
    </row>
    <row r="129" spans="2:10" s="66" customFormat="1" ht="12.75" customHeight="1" x14ac:dyDescent="0.2">
      <c r="B129" s="71">
        <f t="shared" si="9"/>
        <v>116</v>
      </c>
      <c r="C129" s="122">
        <v>204103</v>
      </c>
      <c r="D129" s="123">
        <v>43708</v>
      </c>
      <c r="E129" s="124" t="s">
        <v>189</v>
      </c>
      <c r="F129" s="125">
        <v>200</v>
      </c>
      <c r="G129" s="126">
        <f t="shared" si="5"/>
        <v>-891.94125000000076</v>
      </c>
      <c r="H129" s="72">
        <f t="shared" si="6"/>
        <v>0</v>
      </c>
      <c r="I129" s="73">
        <f t="shared" si="7"/>
        <v>4719.6875</v>
      </c>
      <c r="J129" s="74">
        <f t="shared" si="8"/>
        <v>-891.94125000000076</v>
      </c>
    </row>
    <row r="130" spans="2:10" s="66" customFormat="1" ht="12.75" customHeight="1" x14ac:dyDescent="0.2">
      <c r="B130" s="71">
        <f t="shared" si="9"/>
        <v>117</v>
      </c>
      <c r="C130" s="122">
        <v>214203</v>
      </c>
      <c r="D130" s="123">
        <v>43738</v>
      </c>
      <c r="E130" s="124" t="s">
        <v>190</v>
      </c>
      <c r="F130" s="125">
        <v>180</v>
      </c>
      <c r="G130" s="126">
        <f t="shared" si="5"/>
        <v>-711.94125000000076</v>
      </c>
      <c r="H130" s="72">
        <f t="shared" si="6"/>
        <v>0</v>
      </c>
      <c r="I130" s="73">
        <f t="shared" si="7"/>
        <v>4719.6875</v>
      </c>
      <c r="J130" s="74">
        <f t="shared" si="8"/>
        <v>-711.94125000000076</v>
      </c>
    </row>
    <row r="131" spans="2:10" s="66" customFormat="1" ht="12.75" customHeight="1" x14ac:dyDescent="0.2">
      <c r="B131" s="71">
        <f t="shared" si="9"/>
        <v>118</v>
      </c>
      <c r="C131" s="122">
        <v>212103</v>
      </c>
      <c r="D131" s="123">
        <v>43738</v>
      </c>
      <c r="E131" s="124" t="s">
        <v>191</v>
      </c>
      <c r="F131" s="125">
        <v>120</v>
      </c>
      <c r="G131" s="126">
        <f t="shared" si="5"/>
        <v>-591.94125000000076</v>
      </c>
      <c r="H131" s="72">
        <f t="shared" si="6"/>
        <v>0</v>
      </c>
      <c r="I131" s="73">
        <f t="shared" si="7"/>
        <v>4719.6875</v>
      </c>
      <c r="J131" s="74">
        <f t="shared" si="8"/>
        <v>-591.94125000000076</v>
      </c>
    </row>
    <row r="132" spans="2:10" s="66" customFormat="1" ht="12.75" customHeight="1" x14ac:dyDescent="0.2">
      <c r="B132" s="71">
        <f t="shared" si="9"/>
        <v>119</v>
      </c>
      <c r="C132" s="122">
        <v>213903</v>
      </c>
      <c r="D132" s="123">
        <v>43738</v>
      </c>
      <c r="E132" s="124" t="s">
        <v>192</v>
      </c>
      <c r="F132" s="125">
        <v>110</v>
      </c>
      <c r="G132" s="126">
        <f t="shared" si="5"/>
        <v>-481.94125000000076</v>
      </c>
      <c r="H132" s="72">
        <f t="shared" si="6"/>
        <v>0</v>
      </c>
      <c r="I132" s="73">
        <f t="shared" si="7"/>
        <v>4719.6875</v>
      </c>
      <c r="J132" s="74">
        <f t="shared" si="8"/>
        <v>-481.94125000000076</v>
      </c>
    </row>
    <row r="133" spans="2:10" s="66" customFormat="1" ht="12.75" customHeight="1" x14ac:dyDescent="0.2">
      <c r="B133" s="71">
        <f t="shared" si="9"/>
        <v>120</v>
      </c>
      <c r="C133" s="122">
        <v>213403</v>
      </c>
      <c r="D133" s="123">
        <v>43738</v>
      </c>
      <c r="E133" s="124" t="s">
        <v>193</v>
      </c>
      <c r="F133" s="125">
        <v>100</v>
      </c>
      <c r="G133" s="126">
        <f t="shared" si="5"/>
        <v>-381.94125000000076</v>
      </c>
      <c r="H133" s="72">
        <f t="shared" si="6"/>
        <v>0</v>
      </c>
      <c r="I133" s="73">
        <f t="shared" si="7"/>
        <v>4719.6875</v>
      </c>
      <c r="J133" s="74">
        <f t="shared" si="8"/>
        <v>-381.94125000000076</v>
      </c>
    </row>
    <row r="134" spans="2:10" s="66" customFormat="1" ht="12.75" customHeight="1" x14ac:dyDescent="0.2">
      <c r="B134" s="71">
        <f t="shared" si="9"/>
        <v>121</v>
      </c>
      <c r="C134" s="122">
        <v>211803</v>
      </c>
      <c r="D134" s="123">
        <v>43738</v>
      </c>
      <c r="E134" s="124" t="s">
        <v>194</v>
      </c>
      <c r="F134" s="125">
        <v>800</v>
      </c>
      <c r="G134" s="126">
        <f t="shared" si="5"/>
        <v>418.05874999999924</v>
      </c>
      <c r="H134" s="72">
        <f t="shared" si="6"/>
        <v>1</v>
      </c>
      <c r="I134" s="73">
        <f t="shared" si="7"/>
        <v>4719.6875</v>
      </c>
      <c r="J134" s="74">
        <f t="shared" si="8"/>
        <v>-4301.6287500000008</v>
      </c>
    </row>
    <row r="135" spans="2:10" s="66" customFormat="1" ht="12.75" customHeight="1" x14ac:dyDescent="0.2">
      <c r="B135" s="71">
        <f t="shared" si="9"/>
        <v>122</v>
      </c>
      <c r="C135" s="122">
        <v>212203</v>
      </c>
      <c r="D135" s="123">
        <v>43738</v>
      </c>
      <c r="E135" s="124" t="s">
        <v>195</v>
      </c>
      <c r="F135" s="125">
        <v>216</v>
      </c>
      <c r="G135" s="126">
        <f t="shared" si="5"/>
        <v>-4085.6287500000008</v>
      </c>
      <c r="H135" s="72">
        <f t="shared" si="6"/>
        <v>0</v>
      </c>
      <c r="I135" s="73">
        <f t="shared" si="7"/>
        <v>4719.6875</v>
      </c>
      <c r="J135" s="74">
        <f t="shared" si="8"/>
        <v>-4085.6287500000008</v>
      </c>
    </row>
    <row r="136" spans="2:10" s="66" customFormat="1" ht="12.75" customHeight="1" x14ac:dyDescent="0.2">
      <c r="B136" s="71">
        <f t="shared" si="9"/>
        <v>123</v>
      </c>
      <c r="C136" s="122">
        <v>218703</v>
      </c>
      <c r="D136" s="123">
        <v>43799</v>
      </c>
      <c r="E136" s="124" t="s">
        <v>196</v>
      </c>
      <c r="F136" s="125">
        <v>2000</v>
      </c>
      <c r="G136" s="126">
        <f t="shared" si="5"/>
        <v>-2085.6287500000008</v>
      </c>
      <c r="H136" s="72">
        <f t="shared" si="6"/>
        <v>0</v>
      </c>
      <c r="I136" s="73">
        <f t="shared" si="7"/>
        <v>4719.6875</v>
      </c>
      <c r="J136" s="74">
        <f t="shared" si="8"/>
        <v>-2085.6287500000008</v>
      </c>
    </row>
    <row r="137" spans="2:10" s="66" customFormat="1" ht="12.75" customHeight="1" x14ac:dyDescent="0.2">
      <c r="B137" s="71">
        <f t="shared" si="9"/>
        <v>124</v>
      </c>
      <c r="C137" s="122">
        <v>218803</v>
      </c>
      <c r="D137" s="123">
        <v>43799</v>
      </c>
      <c r="E137" s="124" t="s">
        <v>197</v>
      </c>
      <c r="F137" s="125">
        <v>3000</v>
      </c>
      <c r="G137" s="126">
        <f t="shared" si="5"/>
        <v>914.37124999999924</v>
      </c>
      <c r="H137" s="72">
        <f t="shared" si="6"/>
        <v>1</v>
      </c>
      <c r="I137" s="73">
        <f t="shared" si="7"/>
        <v>4719.6875</v>
      </c>
      <c r="J137" s="74">
        <f t="shared" si="8"/>
        <v>-3805.3162500000008</v>
      </c>
    </row>
    <row r="138" spans="2:10" s="66" customFormat="1" ht="12.75" customHeight="1" x14ac:dyDescent="0.2">
      <c r="B138" s="71">
        <f t="shared" si="9"/>
        <v>125</v>
      </c>
      <c r="C138" s="122">
        <v>218603</v>
      </c>
      <c r="D138" s="123">
        <v>43799</v>
      </c>
      <c r="E138" s="124" t="s">
        <v>198</v>
      </c>
      <c r="F138" s="125">
        <v>140</v>
      </c>
      <c r="G138" s="126">
        <f t="shared" si="5"/>
        <v>-3665.3162500000008</v>
      </c>
      <c r="H138" s="72">
        <f t="shared" si="6"/>
        <v>0</v>
      </c>
      <c r="I138" s="73">
        <f t="shared" si="7"/>
        <v>4719.6875</v>
      </c>
      <c r="J138" s="74">
        <f t="shared" si="8"/>
        <v>-3665.3162500000008</v>
      </c>
    </row>
    <row r="139" spans="2:10" s="66" customFormat="1" ht="12.75" customHeight="1" x14ac:dyDescent="0.2">
      <c r="B139" s="71">
        <f t="shared" si="9"/>
        <v>126</v>
      </c>
      <c r="C139" s="122">
        <v>139203</v>
      </c>
      <c r="D139" s="123">
        <v>43496</v>
      </c>
      <c r="E139" s="124" t="s">
        <v>199</v>
      </c>
      <c r="F139" s="125">
        <v>31.25</v>
      </c>
      <c r="G139" s="126">
        <f t="shared" si="5"/>
        <v>-3634.0662500000008</v>
      </c>
      <c r="H139" s="72">
        <f t="shared" si="6"/>
        <v>0</v>
      </c>
      <c r="I139" s="73">
        <f t="shared" si="7"/>
        <v>4719.6875</v>
      </c>
      <c r="J139" s="74">
        <f t="shared" si="8"/>
        <v>-3634.0662500000008</v>
      </c>
    </row>
    <row r="140" spans="2:10" s="66" customFormat="1" ht="12.75" customHeight="1" x14ac:dyDescent="0.2">
      <c r="B140" s="71">
        <f t="shared" si="9"/>
        <v>127</v>
      </c>
      <c r="C140" s="122">
        <v>139103</v>
      </c>
      <c r="D140" s="123">
        <v>43496</v>
      </c>
      <c r="E140" s="124" t="s">
        <v>200</v>
      </c>
      <c r="F140" s="125">
        <v>31.25</v>
      </c>
      <c r="G140" s="126">
        <f t="shared" si="5"/>
        <v>-3602.8162500000008</v>
      </c>
      <c r="H140" s="72">
        <f t="shared" si="6"/>
        <v>0</v>
      </c>
      <c r="I140" s="73">
        <f t="shared" si="7"/>
        <v>4719.6875</v>
      </c>
      <c r="J140" s="74">
        <f t="shared" si="8"/>
        <v>-3602.8162500000008</v>
      </c>
    </row>
    <row r="141" spans="2:10" s="66" customFormat="1" ht="12.75" customHeight="1" x14ac:dyDescent="0.2">
      <c r="B141" s="71">
        <f t="shared" si="9"/>
        <v>128</v>
      </c>
      <c r="C141" s="122">
        <v>166402</v>
      </c>
      <c r="D141" s="123">
        <v>43496</v>
      </c>
      <c r="E141" s="124" t="s">
        <v>201</v>
      </c>
      <c r="F141" s="125">
        <v>8000</v>
      </c>
      <c r="G141" s="126">
        <f t="shared" si="5"/>
        <v>4397.1837499999992</v>
      </c>
      <c r="H141" s="72">
        <f t="shared" si="6"/>
        <v>1</v>
      </c>
      <c r="I141" s="73">
        <f t="shared" si="7"/>
        <v>4719.6875</v>
      </c>
      <c r="J141" s="74">
        <f t="shared" si="8"/>
        <v>-322.50375000000076</v>
      </c>
    </row>
    <row r="142" spans="2:10" s="66" customFormat="1" ht="12.75" customHeight="1" x14ac:dyDescent="0.2">
      <c r="B142" s="71">
        <f t="shared" si="9"/>
        <v>129</v>
      </c>
      <c r="C142" s="122">
        <v>166502</v>
      </c>
      <c r="D142" s="123">
        <v>43496</v>
      </c>
      <c r="E142" s="124" t="s">
        <v>202</v>
      </c>
      <c r="F142" s="125">
        <v>10500</v>
      </c>
      <c r="G142" s="126">
        <f t="shared" ref="G142:G192" si="10">F142+J141</f>
        <v>10177.49625</v>
      </c>
      <c r="H142" s="72">
        <f t="shared" ref="H142:H192" si="11">IF(G142&gt;0,ROUND(G142/I142+0.5,0),0)</f>
        <v>3</v>
      </c>
      <c r="I142" s="73">
        <f t="shared" ref="I142:I192" si="12">$C$10</f>
        <v>4719.6875</v>
      </c>
      <c r="J142" s="74">
        <f t="shared" ref="J142:J192" si="13">G142-(H142*I142)</f>
        <v>-3981.5662499999999</v>
      </c>
    </row>
    <row r="143" spans="2:10" s="66" customFormat="1" ht="12.75" customHeight="1" x14ac:dyDescent="0.2">
      <c r="B143" s="71">
        <f t="shared" ref="B143:B192" si="14">+B142+1</f>
        <v>130</v>
      </c>
      <c r="C143" s="122">
        <v>166602</v>
      </c>
      <c r="D143" s="123">
        <v>43496</v>
      </c>
      <c r="E143" s="124" t="s">
        <v>203</v>
      </c>
      <c r="F143" s="125">
        <v>31.15</v>
      </c>
      <c r="G143" s="126">
        <f t="shared" si="10"/>
        <v>-3950.4162499999998</v>
      </c>
      <c r="H143" s="72">
        <f t="shared" si="11"/>
        <v>0</v>
      </c>
      <c r="I143" s="73">
        <f t="shared" si="12"/>
        <v>4719.6875</v>
      </c>
      <c r="J143" s="74">
        <f t="shared" si="13"/>
        <v>-3950.4162499999998</v>
      </c>
    </row>
    <row r="144" spans="2:10" s="66" customFormat="1" ht="12.75" customHeight="1" x14ac:dyDescent="0.2">
      <c r="B144" s="71">
        <f t="shared" si="14"/>
        <v>131</v>
      </c>
      <c r="C144" s="122">
        <v>101502</v>
      </c>
      <c r="D144" s="123">
        <v>43496</v>
      </c>
      <c r="E144" s="124" t="s">
        <v>204</v>
      </c>
      <c r="F144" s="125">
        <v>275</v>
      </c>
      <c r="G144" s="126">
        <f t="shared" si="10"/>
        <v>-3675.4162499999998</v>
      </c>
      <c r="H144" s="72">
        <f t="shared" si="11"/>
        <v>0</v>
      </c>
      <c r="I144" s="73">
        <f t="shared" si="12"/>
        <v>4719.6875</v>
      </c>
      <c r="J144" s="74">
        <f t="shared" si="13"/>
        <v>-3675.4162499999998</v>
      </c>
    </row>
    <row r="145" spans="2:10" s="66" customFormat="1" ht="12.75" customHeight="1" x14ac:dyDescent="0.2">
      <c r="B145" s="71">
        <f t="shared" si="14"/>
        <v>132</v>
      </c>
      <c r="C145" s="122"/>
      <c r="D145" s="123">
        <v>43497</v>
      </c>
      <c r="E145" s="124" t="s">
        <v>205</v>
      </c>
      <c r="F145" s="125">
        <v>1.75</v>
      </c>
      <c r="G145" s="126">
        <f t="shared" si="10"/>
        <v>-3673.6662499999998</v>
      </c>
      <c r="H145" s="72">
        <f t="shared" si="11"/>
        <v>0</v>
      </c>
      <c r="I145" s="73">
        <f t="shared" si="12"/>
        <v>4719.6875</v>
      </c>
      <c r="J145" s="74">
        <f t="shared" si="13"/>
        <v>-3673.6662499999998</v>
      </c>
    </row>
    <row r="146" spans="2:10" s="66" customFormat="1" ht="12.75" customHeight="1" x14ac:dyDescent="0.2">
      <c r="B146" s="71">
        <f t="shared" si="14"/>
        <v>133</v>
      </c>
      <c r="C146" s="122"/>
      <c r="D146" s="123">
        <v>43508</v>
      </c>
      <c r="E146" s="124" t="s">
        <v>206</v>
      </c>
      <c r="F146" s="125">
        <v>3</v>
      </c>
      <c r="G146" s="126">
        <f t="shared" si="10"/>
        <v>-3670.6662499999998</v>
      </c>
      <c r="H146" s="72">
        <f t="shared" si="11"/>
        <v>0</v>
      </c>
      <c r="I146" s="73">
        <f t="shared" si="12"/>
        <v>4719.6875</v>
      </c>
      <c r="J146" s="74">
        <f t="shared" si="13"/>
        <v>-3670.6662499999998</v>
      </c>
    </row>
    <row r="147" spans="2:10" s="66" customFormat="1" ht="12.75" customHeight="1" x14ac:dyDescent="0.2">
      <c r="B147" s="71">
        <f t="shared" si="14"/>
        <v>134</v>
      </c>
      <c r="C147" s="122"/>
      <c r="D147" s="123">
        <v>43508</v>
      </c>
      <c r="E147" s="124" t="s">
        <v>207</v>
      </c>
      <c r="F147" s="125">
        <v>100</v>
      </c>
      <c r="G147" s="126">
        <f t="shared" si="10"/>
        <v>-3570.6662499999998</v>
      </c>
      <c r="H147" s="72">
        <f t="shared" si="11"/>
        <v>0</v>
      </c>
      <c r="I147" s="73">
        <f t="shared" si="12"/>
        <v>4719.6875</v>
      </c>
      <c r="J147" s="74">
        <f t="shared" si="13"/>
        <v>-3570.6662499999998</v>
      </c>
    </row>
    <row r="148" spans="2:10" s="66" customFormat="1" ht="12.75" customHeight="1" x14ac:dyDescent="0.2">
      <c r="B148" s="71">
        <f t="shared" si="14"/>
        <v>135</v>
      </c>
      <c r="C148" s="122"/>
      <c r="D148" s="123">
        <v>43511</v>
      </c>
      <c r="E148" s="124" t="s">
        <v>208</v>
      </c>
      <c r="F148" s="125">
        <v>9.26</v>
      </c>
      <c r="G148" s="126">
        <f t="shared" si="10"/>
        <v>-3561.4062499999995</v>
      </c>
      <c r="H148" s="72">
        <f t="shared" si="11"/>
        <v>0</v>
      </c>
      <c r="I148" s="73">
        <f t="shared" si="12"/>
        <v>4719.6875</v>
      </c>
      <c r="J148" s="74">
        <f t="shared" si="13"/>
        <v>-3561.4062499999995</v>
      </c>
    </row>
    <row r="149" spans="2:10" s="66" customFormat="1" ht="12.75" customHeight="1" x14ac:dyDescent="0.2">
      <c r="B149" s="71">
        <f t="shared" si="14"/>
        <v>136</v>
      </c>
      <c r="C149" s="122">
        <v>179802</v>
      </c>
      <c r="D149" s="123">
        <v>43524</v>
      </c>
      <c r="E149" s="124" t="s">
        <v>209</v>
      </c>
      <c r="F149" s="125">
        <v>15000</v>
      </c>
      <c r="G149" s="126">
        <f t="shared" si="10"/>
        <v>11438.59375</v>
      </c>
      <c r="H149" s="72">
        <f t="shared" si="11"/>
        <v>3</v>
      </c>
      <c r="I149" s="73">
        <f t="shared" si="12"/>
        <v>4719.6875</v>
      </c>
      <c r="J149" s="74">
        <f t="shared" si="13"/>
        <v>-2720.46875</v>
      </c>
    </row>
    <row r="150" spans="2:10" s="66" customFormat="1" ht="12.75" customHeight="1" x14ac:dyDescent="0.2">
      <c r="B150" s="71">
        <f t="shared" si="14"/>
        <v>137</v>
      </c>
      <c r="C150" s="122">
        <v>180402</v>
      </c>
      <c r="D150" s="123">
        <v>43524</v>
      </c>
      <c r="E150" s="124" t="s">
        <v>210</v>
      </c>
      <c r="F150" s="125">
        <v>10500</v>
      </c>
      <c r="G150" s="126">
        <f t="shared" si="10"/>
        <v>7779.53125</v>
      </c>
      <c r="H150" s="72">
        <f t="shared" si="11"/>
        <v>2</v>
      </c>
      <c r="I150" s="73">
        <f t="shared" si="12"/>
        <v>4719.6875</v>
      </c>
      <c r="J150" s="74">
        <f t="shared" si="13"/>
        <v>-1659.84375</v>
      </c>
    </row>
    <row r="151" spans="2:10" s="66" customFormat="1" ht="12.75" customHeight="1" x14ac:dyDescent="0.2">
      <c r="B151" s="71">
        <f t="shared" si="14"/>
        <v>138</v>
      </c>
      <c r="C151" s="122"/>
      <c r="D151" s="123">
        <v>43616</v>
      </c>
      <c r="E151" s="124" t="s">
        <v>154</v>
      </c>
      <c r="F151" s="125">
        <v>595</v>
      </c>
      <c r="G151" s="126">
        <f t="shared" si="10"/>
        <v>-1064.84375</v>
      </c>
      <c r="H151" s="72">
        <f t="shared" si="11"/>
        <v>0</v>
      </c>
      <c r="I151" s="73">
        <f t="shared" si="12"/>
        <v>4719.6875</v>
      </c>
      <c r="J151" s="74">
        <f t="shared" si="13"/>
        <v>-1064.84375</v>
      </c>
    </row>
    <row r="152" spans="2:10" s="66" customFormat="1" ht="12.75" customHeight="1" x14ac:dyDescent="0.2">
      <c r="B152" s="71">
        <f t="shared" si="14"/>
        <v>139</v>
      </c>
      <c r="C152" s="122">
        <v>180402</v>
      </c>
      <c r="D152" s="123">
        <v>43646</v>
      </c>
      <c r="E152" s="124" t="s">
        <v>211</v>
      </c>
      <c r="F152" s="125">
        <v>10500</v>
      </c>
      <c r="G152" s="126">
        <f t="shared" si="10"/>
        <v>9435.15625</v>
      </c>
      <c r="H152" s="72">
        <f t="shared" si="11"/>
        <v>2</v>
      </c>
      <c r="I152" s="73">
        <f t="shared" si="12"/>
        <v>4719.6875</v>
      </c>
      <c r="J152" s="74">
        <f t="shared" si="13"/>
        <v>-4.21875</v>
      </c>
    </row>
    <row r="153" spans="2:10" s="66" customFormat="1" ht="12.75" customHeight="1" x14ac:dyDescent="0.2">
      <c r="B153" s="71">
        <f t="shared" si="14"/>
        <v>140</v>
      </c>
      <c r="C153" s="122">
        <v>213902</v>
      </c>
      <c r="D153" s="123">
        <v>43646</v>
      </c>
      <c r="E153" s="124" t="s">
        <v>212</v>
      </c>
      <c r="F153" s="125">
        <v>22.4</v>
      </c>
      <c r="G153" s="126">
        <f t="shared" si="10"/>
        <v>18.181249999999999</v>
      </c>
      <c r="H153" s="72">
        <f t="shared" si="11"/>
        <v>1</v>
      </c>
      <c r="I153" s="73">
        <f t="shared" si="12"/>
        <v>4719.6875</v>
      </c>
      <c r="J153" s="74">
        <f t="shared" si="13"/>
        <v>-4701.5062500000004</v>
      </c>
    </row>
    <row r="154" spans="2:10" s="66" customFormat="1" ht="12.75" customHeight="1" x14ac:dyDescent="0.2">
      <c r="B154" s="71">
        <f t="shared" si="14"/>
        <v>141</v>
      </c>
      <c r="C154" s="122"/>
      <c r="D154" s="123">
        <v>43787</v>
      </c>
      <c r="E154" s="124" t="s">
        <v>213</v>
      </c>
      <c r="F154" s="125">
        <v>108</v>
      </c>
      <c r="G154" s="126">
        <f t="shared" si="10"/>
        <v>-4593.5062500000004</v>
      </c>
      <c r="H154" s="72">
        <f t="shared" si="11"/>
        <v>0</v>
      </c>
      <c r="I154" s="73">
        <f t="shared" si="12"/>
        <v>4719.6875</v>
      </c>
      <c r="J154" s="74">
        <f t="shared" si="13"/>
        <v>-4593.5062500000004</v>
      </c>
    </row>
    <row r="155" spans="2:10" s="66" customFormat="1" ht="12.75" customHeight="1" x14ac:dyDescent="0.2">
      <c r="B155" s="71">
        <f t="shared" si="14"/>
        <v>142</v>
      </c>
      <c r="C155" s="122"/>
      <c r="D155" s="123">
        <v>43826</v>
      </c>
      <c r="E155" s="124" t="s">
        <v>214</v>
      </c>
      <c r="F155" s="125">
        <v>638.95000000000005</v>
      </c>
      <c r="G155" s="126">
        <f t="shared" si="10"/>
        <v>-3954.5562500000005</v>
      </c>
      <c r="H155" s="72">
        <f t="shared" si="11"/>
        <v>0</v>
      </c>
      <c r="I155" s="73">
        <f t="shared" si="12"/>
        <v>4719.6875</v>
      </c>
      <c r="J155" s="74">
        <f t="shared" si="13"/>
        <v>-3954.5562500000005</v>
      </c>
    </row>
    <row r="156" spans="2:10" s="66" customFormat="1" ht="12.75" customHeight="1" x14ac:dyDescent="0.2">
      <c r="B156" s="71">
        <f t="shared" si="14"/>
        <v>143</v>
      </c>
      <c r="C156" s="127">
        <v>176702</v>
      </c>
      <c r="D156" s="128">
        <v>43524</v>
      </c>
      <c r="E156" s="129" t="s">
        <v>215</v>
      </c>
      <c r="F156" s="130">
        <v>3000</v>
      </c>
      <c r="G156" s="126">
        <f t="shared" si="10"/>
        <v>-954.55625000000055</v>
      </c>
      <c r="H156" s="72">
        <f t="shared" si="11"/>
        <v>0</v>
      </c>
      <c r="I156" s="73">
        <f t="shared" si="12"/>
        <v>4719.6875</v>
      </c>
      <c r="J156" s="74">
        <f t="shared" si="13"/>
        <v>-954.55625000000055</v>
      </c>
    </row>
    <row r="157" spans="2:10" s="66" customFormat="1" ht="12.75" customHeight="1" x14ac:dyDescent="0.2">
      <c r="B157" s="71">
        <f t="shared" si="14"/>
        <v>144</v>
      </c>
      <c r="C157" s="127">
        <v>178602</v>
      </c>
      <c r="D157" s="128">
        <v>43524</v>
      </c>
      <c r="E157" s="129" t="s">
        <v>216</v>
      </c>
      <c r="F157" s="130">
        <v>15000</v>
      </c>
      <c r="G157" s="126">
        <f t="shared" si="10"/>
        <v>14045.443749999999</v>
      </c>
      <c r="H157" s="72">
        <f t="shared" si="11"/>
        <v>3</v>
      </c>
      <c r="I157" s="73">
        <f t="shared" si="12"/>
        <v>4719.6875</v>
      </c>
      <c r="J157" s="74">
        <f t="shared" si="13"/>
        <v>-113.61875000000146</v>
      </c>
    </row>
    <row r="158" spans="2:10" s="66" customFormat="1" ht="12.75" customHeight="1" x14ac:dyDescent="0.2">
      <c r="B158" s="71">
        <f t="shared" si="14"/>
        <v>145</v>
      </c>
      <c r="C158" s="127">
        <v>176902</v>
      </c>
      <c r="D158" s="128">
        <v>43524</v>
      </c>
      <c r="E158" s="129" t="s">
        <v>217</v>
      </c>
      <c r="F158" s="130">
        <v>15000</v>
      </c>
      <c r="G158" s="126">
        <f t="shared" si="10"/>
        <v>14886.381249999999</v>
      </c>
      <c r="H158" s="72">
        <f t="shared" si="11"/>
        <v>4</v>
      </c>
      <c r="I158" s="73">
        <f t="shared" si="12"/>
        <v>4719.6875</v>
      </c>
      <c r="J158" s="74">
        <f t="shared" si="13"/>
        <v>-3992.3687500000015</v>
      </c>
    </row>
    <row r="159" spans="2:10" s="66" customFormat="1" ht="12.75" customHeight="1" x14ac:dyDescent="0.2">
      <c r="B159" s="71">
        <f t="shared" si="14"/>
        <v>146</v>
      </c>
      <c r="C159" s="122">
        <v>135603</v>
      </c>
      <c r="D159" s="123">
        <v>43496</v>
      </c>
      <c r="E159" s="124" t="s">
        <v>218</v>
      </c>
      <c r="F159" s="125">
        <v>40</v>
      </c>
      <c r="G159" s="126">
        <f t="shared" si="10"/>
        <v>-3952.3687500000015</v>
      </c>
      <c r="H159" s="72">
        <f t="shared" si="11"/>
        <v>0</v>
      </c>
      <c r="I159" s="73">
        <f t="shared" si="12"/>
        <v>4719.6875</v>
      </c>
      <c r="J159" s="74">
        <f t="shared" si="13"/>
        <v>-3952.3687500000015</v>
      </c>
    </row>
    <row r="160" spans="2:10" s="66" customFormat="1" ht="12.75" customHeight="1" x14ac:dyDescent="0.2">
      <c r="B160" s="71">
        <f t="shared" si="14"/>
        <v>147</v>
      </c>
      <c r="C160" s="122"/>
      <c r="D160" s="123">
        <v>43507</v>
      </c>
      <c r="E160" s="124" t="s">
        <v>219</v>
      </c>
      <c r="F160" s="125">
        <v>20</v>
      </c>
      <c r="G160" s="126">
        <f t="shared" si="10"/>
        <v>-3932.3687500000015</v>
      </c>
      <c r="H160" s="72">
        <f t="shared" si="11"/>
        <v>0</v>
      </c>
      <c r="I160" s="73">
        <f t="shared" si="12"/>
        <v>4719.6875</v>
      </c>
      <c r="J160" s="74">
        <f t="shared" si="13"/>
        <v>-3932.3687500000015</v>
      </c>
    </row>
    <row r="161" spans="2:10" s="66" customFormat="1" ht="12.75" customHeight="1" x14ac:dyDescent="0.2">
      <c r="B161" s="71">
        <f t="shared" si="14"/>
        <v>148</v>
      </c>
      <c r="C161" s="122">
        <v>153503</v>
      </c>
      <c r="D161" s="123">
        <v>43524</v>
      </c>
      <c r="E161" s="124" t="s">
        <v>220</v>
      </c>
      <c r="F161" s="125">
        <v>400</v>
      </c>
      <c r="G161" s="126">
        <f t="shared" si="10"/>
        <v>-3532.3687500000015</v>
      </c>
      <c r="H161" s="72">
        <f t="shared" si="11"/>
        <v>0</v>
      </c>
      <c r="I161" s="73">
        <f t="shared" si="12"/>
        <v>4719.6875</v>
      </c>
      <c r="J161" s="74">
        <f t="shared" si="13"/>
        <v>-3532.3687500000015</v>
      </c>
    </row>
    <row r="162" spans="2:10" s="66" customFormat="1" ht="12.75" customHeight="1" x14ac:dyDescent="0.2">
      <c r="B162" s="71">
        <f t="shared" si="14"/>
        <v>149</v>
      </c>
      <c r="C162" s="122">
        <v>160103</v>
      </c>
      <c r="D162" s="123">
        <v>43555</v>
      </c>
      <c r="E162" s="124" t="s">
        <v>221</v>
      </c>
      <c r="F162" s="125">
        <v>1463.33</v>
      </c>
      <c r="G162" s="126">
        <f t="shared" si="10"/>
        <v>-2069.0387500000015</v>
      </c>
      <c r="H162" s="72">
        <f t="shared" si="11"/>
        <v>0</v>
      </c>
      <c r="I162" s="73">
        <f t="shared" si="12"/>
        <v>4719.6875</v>
      </c>
      <c r="J162" s="74">
        <f t="shared" si="13"/>
        <v>-2069.0387500000015</v>
      </c>
    </row>
    <row r="163" spans="2:10" s="66" customFormat="1" ht="12.75" customHeight="1" x14ac:dyDescent="0.2">
      <c r="B163" s="71">
        <f t="shared" si="14"/>
        <v>150</v>
      </c>
      <c r="C163" s="122">
        <v>168003</v>
      </c>
      <c r="D163" s="123">
        <v>43585</v>
      </c>
      <c r="E163" s="124" t="s">
        <v>222</v>
      </c>
      <c r="F163" s="125">
        <v>2195</v>
      </c>
      <c r="G163" s="126">
        <f t="shared" si="10"/>
        <v>125.96124999999847</v>
      </c>
      <c r="H163" s="72">
        <f t="shared" si="11"/>
        <v>1</v>
      </c>
      <c r="I163" s="73">
        <f t="shared" si="12"/>
        <v>4719.6875</v>
      </c>
      <c r="J163" s="74">
        <f t="shared" si="13"/>
        <v>-4593.7262500000015</v>
      </c>
    </row>
    <row r="164" spans="2:10" s="66" customFormat="1" ht="12.75" customHeight="1" x14ac:dyDescent="0.2">
      <c r="B164" s="71">
        <f t="shared" si="14"/>
        <v>151</v>
      </c>
      <c r="C164" s="122">
        <v>175003</v>
      </c>
      <c r="D164" s="123">
        <v>43616</v>
      </c>
      <c r="E164" s="124" t="s">
        <v>223</v>
      </c>
      <c r="F164" s="125">
        <v>2195</v>
      </c>
      <c r="G164" s="126">
        <f t="shared" si="10"/>
        <v>-2398.7262500000015</v>
      </c>
      <c r="H164" s="72">
        <f t="shared" si="11"/>
        <v>0</v>
      </c>
      <c r="I164" s="73">
        <f t="shared" si="12"/>
        <v>4719.6875</v>
      </c>
      <c r="J164" s="74">
        <f t="shared" si="13"/>
        <v>-2398.7262500000015</v>
      </c>
    </row>
    <row r="165" spans="2:10" s="66" customFormat="1" ht="12.75" customHeight="1" x14ac:dyDescent="0.2">
      <c r="B165" s="71">
        <f t="shared" si="14"/>
        <v>152</v>
      </c>
      <c r="C165" s="122">
        <v>172403</v>
      </c>
      <c r="D165" s="123">
        <v>43616</v>
      </c>
      <c r="E165" s="124" t="s">
        <v>224</v>
      </c>
      <c r="F165" s="125">
        <v>2850</v>
      </c>
      <c r="G165" s="126">
        <f t="shared" si="10"/>
        <v>451.27374999999847</v>
      </c>
      <c r="H165" s="72">
        <f t="shared" si="11"/>
        <v>1</v>
      </c>
      <c r="I165" s="73">
        <f t="shared" si="12"/>
        <v>4719.6875</v>
      </c>
      <c r="J165" s="74">
        <f t="shared" si="13"/>
        <v>-4268.4137500000015</v>
      </c>
    </row>
    <row r="166" spans="2:10" s="66" customFormat="1" ht="12.75" customHeight="1" x14ac:dyDescent="0.2">
      <c r="B166" s="71">
        <f t="shared" si="14"/>
        <v>153</v>
      </c>
      <c r="C166" s="122">
        <v>176303</v>
      </c>
      <c r="D166" s="123">
        <v>43616</v>
      </c>
      <c r="E166" s="124" t="s">
        <v>225</v>
      </c>
      <c r="F166" s="125">
        <v>100</v>
      </c>
      <c r="G166" s="126">
        <f t="shared" si="10"/>
        <v>-4168.4137500000015</v>
      </c>
      <c r="H166" s="72">
        <f t="shared" si="11"/>
        <v>0</v>
      </c>
      <c r="I166" s="73">
        <f t="shared" si="12"/>
        <v>4719.6875</v>
      </c>
      <c r="J166" s="74">
        <f t="shared" si="13"/>
        <v>-4168.4137500000015</v>
      </c>
    </row>
    <row r="167" spans="2:10" s="66" customFormat="1" ht="12.75" customHeight="1" x14ac:dyDescent="0.2">
      <c r="B167" s="71">
        <f t="shared" si="14"/>
        <v>154</v>
      </c>
      <c r="C167" s="122">
        <v>183103</v>
      </c>
      <c r="D167" s="123">
        <v>43646</v>
      </c>
      <c r="E167" s="124" t="s">
        <v>226</v>
      </c>
      <c r="F167" s="125">
        <v>960</v>
      </c>
      <c r="G167" s="126">
        <f t="shared" si="10"/>
        <v>-3208.4137500000015</v>
      </c>
      <c r="H167" s="72">
        <f t="shared" si="11"/>
        <v>0</v>
      </c>
      <c r="I167" s="73">
        <f t="shared" si="12"/>
        <v>4719.6875</v>
      </c>
      <c r="J167" s="74">
        <f t="shared" si="13"/>
        <v>-3208.4137500000015</v>
      </c>
    </row>
    <row r="168" spans="2:10" s="66" customFormat="1" ht="12.75" customHeight="1" x14ac:dyDescent="0.2">
      <c r="B168" s="71">
        <f t="shared" si="14"/>
        <v>155</v>
      </c>
      <c r="C168" s="122">
        <v>182603</v>
      </c>
      <c r="D168" s="123">
        <v>43646</v>
      </c>
      <c r="E168" s="124" t="s">
        <v>227</v>
      </c>
      <c r="F168" s="125">
        <v>804.83</v>
      </c>
      <c r="G168" s="126">
        <f t="shared" si="10"/>
        <v>-2403.5837500000016</v>
      </c>
      <c r="H168" s="72">
        <f t="shared" si="11"/>
        <v>0</v>
      </c>
      <c r="I168" s="73">
        <f t="shared" si="12"/>
        <v>4719.6875</v>
      </c>
      <c r="J168" s="74">
        <f t="shared" si="13"/>
        <v>-2403.5837500000016</v>
      </c>
    </row>
    <row r="169" spans="2:10" s="66" customFormat="1" ht="12.75" customHeight="1" x14ac:dyDescent="0.2">
      <c r="B169" s="71">
        <f t="shared" si="14"/>
        <v>156</v>
      </c>
      <c r="C169" s="122">
        <v>192303</v>
      </c>
      <c r="D169" s="123">
        <v>43646</v>
      </c>
      <c r="E169" s="124" t="s">
        <v>228</v>
      </c>
      <c r="F169" s="125">
        <v>300</v>
      </c>
      <c r="G169" s="126">
        <f t="shared" si="10"/>
        <v>-2103.5837500000016</v>
      </c>
      <c r="H169" s="72">
        <f t="shared" si="11"/>
        <v>0</v>
      </c>
      <c r="I169" s="73">
        <f t="shared" si="12"/>
        <v>4719.6875</v>
      </c>
      <c r="J169" s="74">
        <f t="shared" si="13"/>
        <v>-2103.5837500000016</v>
      </c>
    </row>
    <row r="170" spans="2:10" s="66" customFormat="1" ht="12.75" customHeight="1" x14ac:dyDescent="0.2">
      <c r="B170" s="71">
        <f t="shared" si="14"/>
        <v>157</v>
      </c>
      <c r="C170" s="122">
        <v>199703</v>
      </c>
      <c r="D170" s="123">
        <v>43677</v>
      </c>
      <c r="E170" s="124" t="s">
        <v>229</v>
      </c>
      <c r="F170" s="125">
        <v>536.15</v>
      </c>
      <c r="G170" s="126">
        <f t="shared" si="10"/>
        <v>-1567.4337500000015</v>
      </c>
      <c r="H170" s="72">
        <f t="shared" si="11"/>
        <v>0</v>
      </c>
      <c r="I170" s="73">
        <f t="shared" si="12"/>
        <v>4719.6875</v>
      </c>
      <c r="J170" s="74">
        <f t="shared" si="13"/>
        <v>-1567.4337500000015</v>
      </c>
    </row>
    <row r="171" spans="2:10" s="66" customFormat="1" ht="12.75" customHeight="1" x14ac:dyDescent="0.2">
      <c r="B171" s="71">
        <f t="shared" si="14"/>
        <v>158</v>
      </c>
      <c r="C171" s="122">
        <v>199603</v>
      </c>
      <c r="D171" s="123">
        <v>43677</v>
      </c>
      <c r="E171" s="124" t="s">
        <v>230</v>
      </c>
      <c r="F171" s="125">
        <v>1273.23</v>
      </c>
      <c r="G171" s="126">
        <f t="shared" si="10"/>
        <v>-294.20375000000149</v>
      </c>
      <c r="H171" s="72">
        <f t="shared" si="11"/>
        <v>0</v>
      </c>
      <c r="I171" s="73">
        <f t="shared" si="12"/>
        <v>4719.6875</v>
      </c>
      <c r="J171" s="74">
        <f t="shared" si="13"/>
        <v>-294.20375000000149</v>
      </c>
    </row>
    <row r="172" spans="2:10" s="66" customFormat="1" ht="12.75" customHeight="1" x14ac:dyDescent="0.2">
      <c r="B172" s="71">
        <f t="shared" si="14"/>
        <v>159</v>
      </c>
      <c r="C172" s="122">
        <v>203103</v>
      </c>
      <c r="D172" s="123">
        <v>43677</v>
      </c>
      <c r="E172" s="124" t="s">
        <v>231</v>
      </c>
      <c r="F172" s="125">
        <v>1390.17</v>
      </c>
      <c r="G172" s="126">
        <f t="shared" si="10"/>
        <v>1095.9662499999986</v>
      </c>
      <c r="H172" s="72">
        <f t="shared" si="11"/>
        <v>1</v>
      </c>
      <c r="I172" s="73">
        <f t="shared" si="12"/>
        <v>4719.6875</v>
      </c>
      <c r="J172" s="74">
        <f t="shared" si="13"/>
        <v>-3623.7212500000014</v>
      </c>
    </row>
    <row r="173" spans="2:10" s="66" customFormat="1" ht="12.75" customHeight="1" x14ac:dyDescent="0.2">
      <c r="B173" s="71">
        <f t="shared" si="14"/>
        <v>160</v>
      </c>
      <c r="C173" s="122"/>
      <c r="D173" s="123">
        <v>43787</v>
      </c>
      <c r="E173" s="124" t="s">
        <v>213</v>
      </c>
      <c r="F173" s="125">
        <v>46</v>
      </c>
      <c r="G173" s="126">
        <f t="shared" si="10"/>
        <v>-3577.7212500000014</v>
      </c>
      <c r="H173" s="72">
        <f t="shared" si="11"/>
        <v>0</v>
      </c>
      <c r="I173" s="73">
        <f t="shared" si="12"/>
        <v>4719.6875</v>
      </c>
      <c r="J173" s="74">
        <f t="shared" si="13"/>
        <v>-3577.7212500000014</v>
      </c>
    </row>
    <row r="174" spans="2:10" s="66" customFormat="1" ht="12.75" customHeight="1" x14ac:dyDescent="0.2">
      <c r="B174" s="71">
        <f t="shared" si="14"/>
        <v>161</v>
      </c>
      <c r="C174" s="122">
        <v>219003</v>
      </c>
      <c r="D174" s="123">
        <v>43799</v>
      </c>
      <c r="E174" s="124" t="s">
        <v>232</v>
      </c>
      <c r="F174" s="125">
        <v>1143.1199999999999</v>
      </c>
      <c r="G174" s="126">
        <f t="shared" si="10"/>
        <v>-2434.6012500000015</v>
      </c>
      <c r="H174" s="72">
        <f t="shared" si="11"/>
        <v>0</v>
      </c>
      <c r="I174" s="73">
        <f t="shared" si="12"/>
        <v>4719.6875</v>
      </c>
      <c r="J174" s="74">
        <f t="shared" si="13"/>
        <v>-2434.6012500000015</v>
      </c>
    </row>
    <row r="175" spans="2:10" s="66" customFormat="1" ht="12.75" customHeight="1" x14ac:dyDescent="0.2">
      <c r="B175" s="71">
        <f t="shared" si="14"/>
        <v>162</v>
      </c>
      <c r="C175" s="122">
        <v>219103</v>
      </c>
      <c r="D175" s="123">
        <v>43799</v>
      </c>
      <c r="E175" s="124" t="s">
        <v>233</v>
      </c>
      <c r="F175" s="125">
        <v>325</v>
      </c>
      <c r="G175" s="126">
        <f t="shared" si="10"/>
        <v>-2109.6012500000015</v>
      </c>
      <c r="H175" s="72">
        <f t="shared" si="11"/>
        <v>0</v>
      </c>
      <c r="I175" s="73">
        <f t="shared" si="12"/>
        <v>4719.6875</v>
      </c>
      <c r="J175" s="74">
        <f t="shared" si="13"/>
        <v>-2109.6012500000015</v>
      </c>
    </row>
    <row r="176" spans="2:10" s="66" customFormat="1" ht="12.75" customHeight="1" x14ac:dyDescent="0.2">
      <c r="B176" s="71">
        <f t="shared" si="14"/>
        <v>163</v>
      </c>
      <c r="C176" s="122"/>
      <c r="D176" s="123">
        <v>43826</v>
      </c>
      <c r="E176" s="124" t="s">
        <v>234</v>
      </c>
      <c r="F176" s="125">
        <v>46</v>
      </c>
      <c r="G176" s="126">
        <f t="shared" si="10"/>
        <v>-2063.6012500000015</v>
      </c>
      <c r="H176" s="72">
        <f t="shared" si="11"/>
        <v>0</v>
      </c>
      <c r="I176" s="73">
        <f t="shared" si="12"/>
        <v>4719.6875</v>
      </c>
      <c r="J176" s="74">
        <f t="shared" si="13"/>
        <v>-2063.6012500000015</v>
      </c>
    </row>
    <row r="177" spans="2:10" s="66" customFormat="1" ht="12.75" customHeight="1" x14ac:dyDescent="0.2">
      <c r="B177" s="71">
        <f t="shared" si="14"/>
        <v>164</v>
      </c>
      <c r="C177" s="122">
        <v>165203</v>
      </c>
      <c r="D177" s="123">
        <v>43585</v>
      </c>
      <c r="E177" s="124" t="s">
        <v>235</v>
      </c>
      <c r="F177" s="125">
        <v>720</v>
      </c>
      <c r="G177" s="126">
        <f t="shared" si="10"/>
        <v>-1343.6012500000015</v>
      </c>
      <c r="H177" s="72">
        <f t="shared" si="11"/>
        <v>0</v>
      </c>
      <c r="I177" s="73">
        <f t="shared" si="12"/>
        <v>4719.6875</v>
      </c>
      <c r="J177" s="74">
        <f t="shared" si="13"/>
        <v>-1343.6012500000015</v>
      </c>
    </row>
    <row r="178" spans="2:10" s="66" customFormat="1" ht="12.75" customHeight="1" x14ac:dyDescent="0.2">
      <c r="B178" s="71">
        <f t="shared" si="14"/>
        <v>165</v>
      </c>
      <c r="C178" s="122">
        <v>173203</v>
      </c>
      <c r="D178" s="123">
        <v>43616</v>
      </c>
      <c r="E178" s="124" t="s">
        <v>236</v>
      </c>
      <c r="F178" s="125">
        <v>1500</v>
      </c>
      <c r="G178" s="126">
        <f t="shared" si="10"/>
        <v>156.39874999999847</v>
      </c>
      <c r="H178" s="72">
        <f t="shared" si="11"/>
        <v>1</v>
      </c>
      <c r="I178" s="73">
        <f t="shared" si="12"/>
        <v>4719.6875</v>
      </c>
      <c r="J178" s="74">
        <f t="shared" si="13"/>
        <v>-4563.2887500000015</v>
      </c>
    </row>
    <row r="179" spans="2:10" s="66" customFormat="1" ht="12.75" customHeight="1" x14ac:dyDescent="0.2">
      <c r="B179" s="71">
        <f t="shared" si="14"/>
        <v>166</v>
      </c>
      <c r="C179" s="122">
        <v>179403</v>
      </c>
      <c r="D179" s="123">
        <v>43616</v>
      </c>
      <c r="E179" s="124" t="s">
        <v>237</v>
      </c>
      <c r="F179" s="125">
        <v>3750</v>
      </c>
      <c r="G179" s="126">
        <f t="shared" si="10"/>
        <v>-813.28875000000153</v>
      </c>
      <c r="H179" s="72">
        <f t="shared" si="11"/>
        <v>0</v>
      </c>
      <c r="I179" s="73">
        <f t="shared" si="12"/>
        <v>4719.6875</v>
      </c>
      <c r="J179" s="74">
        <f t="shared" si="13"/>
        <v>-813.28875000000153</v>
      </c>
    </row>
    <row r="180" spans="2:10" s="66" customFormat="1" ht="12.75" customHeight="1" x14ac:dyDescent="0.2">
      <c r="B180" s="71">
        <f t="shared" si="14"/>
        <v>167</v>
      </c>
      <c r="C180" s="122">
        <v>185403</v>
      </c>
      <c r="D180" s="123">
        <v>43646</v>
      </c>
      <c r="E180" s="124" t="s">
        <v>238</v>
      </c>
      <c r="F180" s="125">
        <v>5976</v>
      </c>
      <c r="G180" s="126">
        <f t="shared" si="10"/>
        <v>5162.7112499999985</v>
      </c>
      <c r="H180" s="72">
        <f t="shared" si="11"/>
        <v>2</v>
      </c>
      <c r="I180" s="73">
        <f t="shared" si="12"/>
        <v>4719.6875</v>
      </c>
      <c r="J180" s="74">
        <f t="shared" si="13"/>
        <v>-4276.6637500000015</v>
      </c>
    </row>
    <row r="181" spans="2:10" s="66" customFormat="1" ht="12.75" customHeight="1" x14ac:dyDescent="0.2">
      <c r="B181" s="71">
        <f t="shared" si="14"/>
        <v>168</v>
      </c>
      <c r="C181" s="122">
        <v>185503</v>
      </c>
      <c r="D181" s="123">
        <v>43646</v>
      </c>
      <c r="E181" s="124" t="s">
        <v>239</v>
      </c>
      <c r="F181" s="125">
        <v>400</v>
      </c>
      <c r="G181" s="126">
        <f t="shared" si="10"/>
        <v>-3876.6637500000015</v>
      </c>
      <c r="H181" s="72">
        <f t="shared" si="11"/>
        <v>0</v>
      </c>
      <c r="I181" s="73">
        <f t="shared" si="12"/>
        <v>4719.6875</v>
      </c>
      <c r="J181" s="74">
        <f t="shared" si="13"/>
        <v>-3876.6637500000015</v>
      </c>
    </row>
    <row r="182" spans="2:10" s="66" customFormat="1" ht="12.75" customHeight="1" x14ac:dyDescent="0.2">
      <c r="B182" s="71">
        <f t="shared" si="14"/>
        <v>169</v>
      </c>
      <c r="C182" s="122">
        <v>192703</v>
      </c>
      <c r="D182" s="123">
        <v>43646</v>
      </c>
      <c r="E182" s="124" t="s">
        <v>240</v>
      </c>
      <c r="F182" s="125">
        <v>1250</v>
      </c>
      <c r="G182" s="126">
        <f t="shared" si="10"/>
        <v>-2626.6637500000015</v>
      </c>
      <c r="H182" s="72">
        <f t="shared" si="11"/>
        <v>0</v>
      </c>
      <c r="I182" s="73">
        <f t="shared" si="12"/>
        <v>4719.6875</v>
      </c>
      <c r="J182" s="74">
        <f t="shared" si="13"/>
        <v>-2626.6637500000015</v>
      </c>
    </row>
    <row r="183" spans="2:10" s="66" customFormat="1" ht="12.75" customHeight="1" x14ac:dyDescent="0.2">
      <c r="B183" s="71">
        <f t="shared" si="14"/>
        <v>170</v>
      </c>
      <c r="C183" s="122">
        <v>198503</v>
      </c>
      <c r="D183" s="123">
        <v>43677</v>
      </c>
      <c r="E183" s="124" t="s">
        <v>241</v>
      </c>
      <c r="F183" s="125">
        <v>1250</v>
      </c>
      <c r="G183" s="126">
        <f t="shared" si="10"/>
        <v>-1376.6637500000015</v>
      </c>
      <c r="H183" s="72">
        <f t="shared" si="11"/>
        <v>0</v>
      </c>
      <c r="I183" s="73">
        <f t="shared" si="12"/>
        <v>4719.6875</v>
      </c>
      <c r="J183" s="74">
        <f t="shared" si="13"/>
        <v>-1376.6637500000015</v>
      </c>
    </row>
    <row r="184" spans="2:10" s="66" customFormat="1" ht="12.75" customHeight="1" x14ac:dyDescent="0.2">
      <c r="B184" s="71">
        <f t="shared" si="14"/>
        <v>171</v>
      </c>
      <c r="C184" s="122">
        <v>208903</v>
      </c>
      <c r="D184" s="123">
        <v>43708</v>
      </c>
      <c r="E184" s="124" t="s">
        <v>242</v>
      </c>
      <c r="F184" s="125">
        <v>1250</v>
      </c>
      <c r="G184" s="126">
        <f t="shared" si="10"/>
        <v>-126.66375000000153</v>
      </c>
      <c r="H184" s="72">
        <f t="shared" si="11"/>
        <v>0</v>
      </c>
      <c r="I184" s="73">
        <f t="shared" si="12"/>
        <v>4719.6875</v>
      </c>
      <c r="J184" s="74">
        <f t="shared" si="13"/>
        <v>-126.66375000000153</v>
      </c>
    </row>
    <row r="185" spans="2:10" s="66" customFormat="1" ht="12.75" customHeight="1" x14ac:dyDescent="0.2">
      <c r="B185" s="71">
        <f t="shared" si="14"/>
        <v>172</v>
      </c>
      <c r="C185" s="122">
        <v>212803</v>
      </c>
      <c r="D185" s="123">
        <v>43738</v>
      </c>
      <c r="E185" s="124" t="s">
        <v>243</v>
      </c>
      <c r="F185" s="125">
        <v>1250</v>
      </c>
      <c r="G185" s="126">
        <f t="shared" si="10"/>
        <v>1123.3362499999985</v>
      </c>
      <c r="H185" s="72">
        <f t="shared" si="11"/>
        <v>1</v>
      </c>
      <c r="I185" s="73">
        <f t="shared" si="12"/>
        <v>4719.6875</v>
      </c>
      <c r="J185" s="74">
        <f t="shared" si="13"/>
        <v>-3596.3512500000015</v>
      </c>
    </row>
    <row r="186" spans="2:10" s="66" customFormat="1" ht="12.75" customHeight="1" x14ac:dyDescent="0.2">
      <c r="B186" s="71">
        <f t="shared" si="14"/>
        <v>173</v>
      </c>
      <c r="C186" s="122">
        <v>214703</v>
      </c>
      <c r="D186" s="123">
        <v>43769</v>
      </c>
      <c r="E186" s="124" t="s">
        <v>244</v>
      </c>
      <c r="F186" s="125">
        <v>1250</v>
      </c>
      <c r="G186" s="126">
        <f t="shared" si="10"/>
        <v>-2346.3512500000015</v>
      </c>
      <c r="H186" s="72">
        <f t="shared" si="11"/>
        <v>0</v>
      </c>
      <c r="I186" s="73">
        <f t="shared" si="12"/>
        <v>4719.6875</v>
      </c>
      <c r="J186" s="74">
        <f t="shared" si="13"/>
        <v>-2346.3512500000015</v>
      </c>
    </row>
    <row r="187" spans="2:10" s="66" customFormat="1" ht="12.75" customHeight="1" x14ac:dyDescent="0.2">
      <c r="B187" s="71">
        <f t="shared" si="14"/>
        <v>174</v>
      </c>
      <c r="C187" s="122">
        <v>217303</v>
      </c>
      <c r="D187" s="123">
        <v>43799</v>
      </c>
      <c r="E187" s="124" t="s">
        <v>245</v>
      </c>
      <c r="F187" s="125">
        <v>1250</v>
      </c>
      <c r="G187" s="126">
        <f t="shared" si="10"/>
        <v>-1096.3512500000015</v>
      </c>
      <c r="H187" s="72">
        <f t="shared" si="11"/>
        <v>0</v>
      </c>
      <c r="I187" s="73">
        <f t="shared" si="12"/>
        <v>4719.6875</v>
      </c>
      <c r="J187" s="74">
        <f t="shared" si="13"/>
        <v>-1096.3512500000015</v>
      </c>
    </row>
    <row r="188" spans="2:10" s="66" customFormat="1" ht="12.75" customHeight="1" x14ac:dyDescent="0.2">
      <c r="B188" s="71">
        <f t="shared" si="14"/>
        <v>175</v>
      </c>
      <c r="C188" s="122">
        <v>219303</v>
      </c>
      <c r="D188" s="123">
        <v>43830</v>
      </c>
      <c r="E188" s="124" t="s">
        <v>246</v>
      </c>
      <c r="F188" s="125">
        <v>1250</v>
      </c>
      <c r="G188" s="126">
        <f t="shared" si="10"/>
        <v>153.64874999999847</v>
      </c>
      <c r="H188" s="72">
        <f t="shared" si="11"/>
        <v>1</v>
      </c>
      <c r="I188" s="73">
        <f t="shared" si="12"/>
        <v>4719.6875</v>
      </c>
      <c r="J188" s="74">
        <f t="shared" si="13"/>
        <v>-4566.0387500000015</v>
      </c>
    </row>
    <row r="189" spans="2:10" s="66" customFormat="1" ht="12.75" customHeight="1" x14ac:dyDescent="0.2">
      <c r="B189" s="71">
        <f t="shared" si="14"/>
        <v>176</v>
      </c>
      <c r="C189" s="122">
        <v>209002</v>
      </c>
      <c r="D189" s="123">
        <v>43616</v>
      </c>
      <c r="E189" s="124" t="s">
        <v>247</v>
      </c>
      <c r="F189" s="125">
        <v>7448.89</v>
      </c>
      <c r="G189" s="126">
        <f t="shared" si="10"/>
        <v>2882.8512499999988</v>
      </c>
      <c r="H189" s="72">
        <f t="shared" si="11"/>
        <v>1</v>
      </c>
      <c r="I189" s="73">
        <f t="shared" si="12"/>
        <v>4719.6875</v>
      </c>
      <c r="J189" s="74">
        <f t="shared" si="13"/>
        <v>-1836.8362500000012</v>
      </c>
    </row>
    <row r="190" spans="2:10" s="66" customFormat="1" ht="12.75" customHeight="1" x14ac:dyDescent="0.2">
      <c r="B190" s="71">
        <f t="shared" si="14"/>
        <v>177</v>
      </c>
      <c r="C190" s="122">
        <v>220302</v>
      </c>
      <c r="D190" s="123">
        <v>43677</v>
      </c>
      <c r="E190" s="124" t="s">
        <v>248</v>
      </c>
      <c r="F190" s="125">
        <v>40</v>
      </c>
      <c r="G190" s="126">
        <f t="shared" si="10"/>
        <v>-1796.8362500000012</v>
      </c>
      <c r="H190" s="72">
        <f t="shared" si="11"/>
        <v>0</v>
      </c>
      <c r="I190" s="73">
        <f t="shared" si="12"/>
        <v>4719.6875</v>
      </c>
      <c r="J190" s="74">
        <f t="shared" si="13"/>
        <v>-1796.8362500000012</v>
      </c>
    </row>
    <row r="191" spans="2:10" s="66" customFormat="1" ht="12.75" customHeight="1" x14ac:dyDescent="0.2">
      <c r="B191" s="71">
        <f t="shared" si="14"/>
        <v>178</v>
      </c>
      <c r="C191" s="122">
        <v>236002</v>
      </c>
      <c r="D191" s="123">
        <v>43738</v>
      </c>
      <c r="E191" s="124" t="s">
        <v>249</v>
      </c>
      <c r="F191" s="125">
        <v>2078.83</v>
      </c>
      <c r="G191" s="126">
        <f t="shared" si="10"/>
        <v>281.99374999999873</v>
      </c>
      <c r="H191" s="72">
        <f t="shared" si="11"/>
        <v>1</v>
      </c>
      <c r="I191" s="73">
        <f t="shared" si="12"/>
        <v>4719.6875</v>
      </c>
      <c r="J191" s="74">
        <f t="shared" si="13"/>
        <v>-4437.6937500000013</v>
      </c>
    </row>
    <row r="192" spans="2:10" s="66" customFormat="1" ht="12.75" customHeight="1" x14ac:dyDescent="0.2">
      <c r="B192" s="141">
        <f t="shared" si="14"/>
        <v>179</v>
      </c>
      <c r="C192" s="131">
        <v>248902</v>
      </c>
      <c r="D192" s="132">
        <v>43830</v>
      </c>
      <c r="E192" s="133" t="s">
        <v>250</v>
      </c>
      <c r="F192" s="134">
        <v>2076</v>
      </c>
      <c r="G192" s="135">
        <f t="shared" si="10"/>
        <v>-2361.6937500000013</v>
      </c>
      <c r="H192" s="136">
        <f t="shared" si="11"/>
        <v>0</v>
      </c>
      <c r="I192" s="137">
        <f t="shared" si="12"/>
        <v>4719.6875</v>
      </c>
      <c r="J192" s="138">
        <f t="shared" si="13"/>
        <v>-2361.6937500000013</v>
      </c>
    </row>
    <row r="193" spans="2:226" x14ac:dyDescent="0.2">
      <c r="B193" s="140" t="s">
        <v>59</v>
      </c>
      <c r="C193" s="114"/>
      <c r="D193" s="114"/>
      <c r="E193" s="115"/>
      <c r="F193" s="116"/>
      <c r="G193" s="75"/>
      <c r="H193" s="76" t="s">
        <v>60</v>
      </c>
      <c r="I193" s="75"/>
      <c r="J193" s="77"/>
    </row>
    <row r="194" spans="2:226" x14ac:dyDescent="0.2">
      <c r="B194" s="78" t="s">
        <v>61</v>
      </c>
      <c r="C194" s="79"/>
      <c r="D194" s="79"/>
      <c r="E194" s="80" t="s">
        <v>62</v>
      </c>
      <c r="F194" s="81">
        <f>ROUND(SUM(F14:F193),0)</f>
        <v>226543</v>
      </c>
      <c r="G194" s="82" t="s">
        <v>63</v>
      </c>
      <c r="H194" s="83">
        <f>SUM(H14:H193)</f>
        <v>48</v>
      </c>
      <c r="I194" s="84"/>
      <c r="J194" s="81">
        <f>+J31</f>
        <v>-4707.7737500000003</v>
      </c>
    </row>
    <row r="195" spans="2:226" x14ac:dyDescent="0.2">
      <c r="B195" s="1"/>
      <c r="C195" s="1"/>
      <c r="D195" s="1"/>
      <c r="E195" s="85"/>
      <c r="F195" s="55"/>
      <c r="G195" s="86"/>
      <c r="H195" s="1"/>
      <c r="I195" s="1"/>
      <c r="J195" s="1"/>
    </row>
    <row r="196" spans="2:226" x14ac:dyDescent="0.2">
      <c r="B196" s="1"/>
      <c r="C196" s="1"/>
      <c r="D196" s="1"/>
      <c r="E196" s="1"/>
      <c r="F196" s="87"/>
      <c r="G196" s="1"/>
      <c r="H196" s="1"/>
      <c r="I196" s="1"/>
      <c r="J196" s="1"/>
    </row>
    <row r="197" spans="2:226" s="1" customFormat="1" x14ac:dyDescent="0.2">
      <c r="B197" s="88" t="s">
        <v>64</v>
      </c>
      <c r="C197" s="89"/>
      <c r="D197" s="90"/>
      <c r="H197" s="152" t="s">
        <v>65</v>
      </c>
      <c r="I197" s="152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</row>
    <row r="198" spans="2:226" s="1" customFormat="1" x14ac:dyDescent="0.2">
      <c r="B198" s="91"/>
      <c r="C198" s="92"/>
      <c r="D198" s="90"/>
      <c r="G198" s="93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</row>
    <row r="199" spans="2:226" s="1" customFormat="1" x14ac:dyDescent="0.2">
      <c r="B199" s="94" t="s">
        <v>52</v>
      </c>
      <c r="C199" s="95">
        <f>$C$11</f>
        <v>2359.84375</v>
      </c>
      <c r="D199" s="96"/>
      <c r="G199" s="97"/>
      <c r="H199" s="98" t="s">
        <v>48</v>
      </c>
      <c r="I199" s="99">
        <v>226543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</row>
    <row r="200" spans="2:226" s="1" customFormat="1" ht="25.5" x14ac:dyDescent="0.2">
      <c r="B200" s="100" t="s">
        <v>66</v>
      </c>
      <c r="C200" s="95">
        <f>H194*$C$10</f>
        <v>226545</v>
      </c>
      <c r="D200" s="96"/>
      <c r="G200" s="101"/>
      <c r="H200" s="102" t="s">
        <v>67</v>
      </c>
      <c r="I200" s="103">
        <v>13500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</row>
    <row r="201" spans="2:226" s="1" customFormat="1" x14ac:dyDescent="0.2">
      <c r="B201" s="94" t="s">
        <v>68</v>
      </c>
      <c r="C201" s="104">
        <v>0</v>
      </c>
      <c r="D201" s="96"/>
      <c r="G201" s="105"/>
      <c r="H201" s="98" t="s">
        <v>57</v>
      </c>
      <c r="I201" s="99">
        <f>ROUNDUP((I199/I200),2)</f>
        <v>16.790000000000003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</row>
    <row r="202" spans="2:226" s="1" customFormat="1" x14ac:dyDescent="0.2">
      <c r="B202" s="91"/>
      <c r="C202" s="95">
        <f>SUM(C199:C201)</f>
        <v>228904.84375</v>
      </c>
      <c r="D202" s="96"/>
      <c r="H202" s="106" t="s">
        <v>69</v>
      </c>
      <c r="I202" s="107">
        <f>H194</f>
        <v>48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</row>
    <row r="203" spans="2:226" s="1" customFormat="1" x14ac:dyDescent="0.2">
      <c r="B203" s="94" t="s">
        <v>70</v>
      </c>
      <c r="C203" s="104">
        <f>F194</f>
        <v>226543</v>
      </c>
      <c r="D203" s="96"/>
      <c r="E203" s="2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</row>
    <row r="204" spans="2:226" s="1" customFormat="1" x14ac:dyDescent="0.2">
      <c r="B204" s="108" t="s">
        <v>71</v>
      </c>
      <c r="C204" s="109">
        <f>C202-C203</f>
        <v>2361.84375</v>
      </c>
      <c r="D204" s="96"/>
      <c r="E204" s="110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</row>
  </sheetData>
  <mergeCells count="2">
    <mergeCell ref="B6:J6"/>
    <mergeCell ref="H197:I19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Sample Size &amp; Threshold Calc</vt:lpstr>
      <vt:lpstr>Sample Size - Gastos</vt:lpstr>
      <vt:lpstr>Muestreo Gastos</vt:lpstr>
    </vt:vector>
  </TitlesOfParts>
  <Company>Deloitte.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*** Libro de Trabajo de Muestreo por Unidad Monetaria</dc:title>
  <dc:subject/>
  <dc:creator>Deloitte Touche Tohmatsu Limited</dc:creator>
  <dc:description/>
  <cp:lastModifiedBy>Leonidas</cp:lastModifiedBy>
  <cp:revision>13</cp:revision>
  <cp:lastPrinted>2009-11-03T22:06:13Z</cp:lastPrinted>
  <dcterms:created xsi:type="dcterms:W3CDTF">2001-12-17T19:09:57Z</dcterms:created>
  <dcterms:modified xsi:type="dcterms:W3CDTF">2020-05-14T00:04:37Z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Deloitte.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