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935" tabRatio="1000"/>
  </bookViews>
  <sheets>
    <sheet name="Resumen2021" sheetId="21" r:id="rId1"/>
    <sheet name="Vehiculos" sheetId="29" r:id="rId2"/>
    <sheet name="Eq.Computac" sheetId="30" r:id="rId3"/>
    <sheet name="Muebles " sheetId="31" r:id="rId4"/>
    <sheet name="EuiposProyecc" sheetId="32" r:id="rId5"/>
  </sheets>
  <definedNames>
    <definedName name="_xlnm.Print_Area" localSheetId="2">Eq.Computac!$A$1:$AJ$74</definedName>
    <definedName name="_xlnm.Print_Area" localSheetId="3">'Muebles '!$A$1:$W$63</definedName>
    <definedName name="_xlnm.Print_Area" localSheetId="0">Resumen2021!$A$1:$M$46</definedName>
    <definedName name="_xlnm.Print_Area" localSheetId="1">Vehiculos!$A$1:$P$49</definedName>
    <definedName name="_xlnm.Print_Titles" localSheetId="2">Eq.Computac!$1:$3</definedName>
    <definedName name="_xlnm.Print_Titles" localSheetId="3">'Muebles '!$1:$3</definedName>
  </definedNames>
  <calcPr calcId="145621"/>
</workbook>
</file>

<file path=xl/calcChain.xml><?xml version="1.0" encoding="utf-8"?>
<calcChain xmlns="http://schemas.openxmlformats.org/spreadsheetml/2006/main">
  <c r="J14" i="21" l="1"/>
  <c r="L14" i="21" s="1"/>
  <c r="E10" i="32"/>
  <c r="D10" i="32"/>
  <c r="C10" i="32"/>
  <c r="E8" i="32"/>
  <c r="W39" i="31"/>
  <c r="W38" i="31"/>
  <c r="W37" i="31"/>
  <c r="W36" i="31"/>
  <c r="W35" i="31"/>
  <c r="W34" i="31"/>
  <c r="W33" i="31"/>
  <c r="W32" i="31"/>
  <c r="W31" i="31"/>
  <c r="W30" i="31"/>
  <c r="W29" i="31"/>
  <c r="V39" i="31"/>
  <c r="V38" i="31"/>
  <c r="V37" i="31"/>
  <c r="V36" i="31"/>
  <c r="V35" i="31"/>
  <c r="V34" i="31"/>
  <c r="V33" i="31"/>
  <c r="V32" i="31"/>
  <c r="V31" i="31"/>
  <c r="V30" i="31"/>
  <c r="V29" i="31"/>
  <c r="W71" i="30"/>
  <c r="X71" i="30" s="1"/>
  <c r="Y71" i="30" s="1"/>
  <c r="Z71" i="30" s="1"/>
  <c r="AA71" i="30" s="1"/>
  <c r="AB71" i="30" s="1"/>
  <c r="AC71" i="30" s="1"/>
  <c r="V71" i="30"/>
  <c r="U71" i="30"/>
  <c r="AJ66" i="30"/>
  <c r="AJ67" i="30" s="1"/>
  <c r="AJ65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C67" i="30"/>
  <c r="AI66" i="30"/>
  <c r="AD66" i="30"/>
  <c r="AD65" i="30"/>
  <c r="AI65" i="30" s="1"/>
  <c r="T66" i="30"/>
  <c r="R66" i="30"/>
  <c r="T65" i="30"/>
  <c r="R65" i="30"/>
  <c r="Q152" i="30"/>
  <c r="Q153" i="30" s="1"/>
  <c r="Q151" i="30"/>
  <c r="AH147" i="30"/>
  <c r="AG147" i="30"/>
  <c r="AF147" i="30"/>
  <c r="AC147" i="30"/>
  <c r="AB147" i="30"/>
  <c r="AA147" i="30"/>
  <c r="Z147" i="30"/>
  <c r="Y147" i="30"/>
  <c r="X147" i="30"/>
  <c r="W147" i="30"/>
  <c r="V147" i="30"/>
  <c r="U147" i="30"/>
  <c r="S147" i="30"/>
  <c r="C147" i="30"/>
  <c r="AD146" i="30"/>
  <c r="AI146" i="30" s="1"/>
  <c r="R146" i="30"/>
  <c r="T146" i="30" s="1"/>
  <c r="AD145" i="30"/>
  <c r="AI145" i="30" s="1"/>
  <c r="R145" i="30"/>
  <c r="T145" i="30" s="1"/>
  <c r="AD143" i="30"/>
  <c r="AI143" i="30" s="1"/>
  <c r="R143" i="30"/>
  <c r="T143" i="30" s="1"/>
  <c r="AD142" i="30"/>
  <c r="AI142" i="30" s="1"/>
  <c r="R142" i="30"/>
  <c r="T142" i="30" s="1"/>
  <c r="AD141" i="30"/>
  <c r="AI141" i="30" s="1"/>
  <c r="R141" i="30"/>
  <c r="T141" i="30" s="1"/>
  <c r="AI140" i="30"/>
  <c r="AD140" i="30"/>
  <c r="R140" i="30"/>
  <c r="T140" i="30" s="1"/>
  <c r="AD139" i="30"/>
  <c r="AD147" i="30" s="1"/>
  <c r="R139" i="30"/>
  <c r="T139" i="30" s="1"/>
  <c r="R137" i="30"/>
  <c r="T137" i="30" s="1"/>
  <c r="R135" i="30"/>
  <c r="T135" i="30" s="1"/>
  <c r="R134" i="30"/>
  <c r="T134" i="30" s="1"/>
  <c r="R133" i="30"/>
  <c r="T133" i="30" s="1"/>
  <c r="R131" i="30"/>
  <c r="T131" i="30" s="1"/>
  <c r="P131" i="30"/>
  <c r="Q129" i="30"/>
  <c r="R129" i="30" s="1"/>
  <c r="T129" i="30" s="1"/>
  <c r="N129" i="30"/>
  <c r="P129" i="30" s="1"/>
  <c r="M129" i="30"/>
  <c r="Q128" i="30"/>
  <c r="R128" i="30" s="1"/>
  <c r="T128" i="30" s="1"/>
  <c r="N128" i="30"/>
  <c r="P128" i="30" s="1"/>
  <c r="M128" i="30"/>
  <c r="Q127" i="30"/>
  <c r="R127" i="30" s="1"/>
  <c r="T127" i="30" s="1"/>
  <c r="N127" i="30"/>
  <c r="P127" i="30" s="1"/>
  <c r="M127" i="30"/>
  <c r="Q126" i="30"/>
  <c r="R126" i="30" s="1"/>
  <c r="T126" i="30" s="1"/>
  <c r="N126" i="30"/>
  <c r="P126" i="30" s="1"/>
  <c r="M126" i="30"/>
  <c r="T124" i="30"/>
  <c r="R124" i="30"/>
  <c r="M124" i="30"/>
  <c r="N124" i="30" s="1"/>
  <c r="P124" i="30" s="1"/>
  <c r="R123" i="30"/>
  <c r="T123" i="30" s="1"/>
  <c r="N123" i="30"/>
  <c r="P123" i="30" s="1"/>
  <c r="M123" i="30"/>
  <c r="T122" i="30"/>
  <c r="R122" i="30"/>
  <c r="M122" i="30"/>
  <c r="N122" i="30" s="1"/>
  <c r="P122" i="30" s="1"/>
  <c r="R121" i="30"/>
  <c r="T121" i="30" s="1"/>
  <c r="K121" i="30"/>
  <c r="M121" i="30" s="1"/>
  <c r="N121" i="30" s="1"/>
  <c r="P121" i="30" s="1"/>
  <c r="M119" i="30"/>
  <c r="Q119" i="30" s="1"/>
  <c r="R119" i="30" s="1"/>
  <c r="T119" i="30" s="1"/>
  <c r="M118" i="30"/>
  <c r="N118" i="30" s="1"/>
  <c r="P118" i="30" s="1"/>
  <c r="M117" i="30"/>
  <c r="Q117" i="30" s="1"/>
  <c r="R117" i="30" s="1"/>
  <c r="T117" i="30" s="1"/>
  <c r="M116" i="30"/>
  <c r="N116" i="30" s="1"/>
  <c r="P116" i="30" s="1"/>
  <c r="R114" i="30"/>
  <c r="T114" i="30" s="1"/>
  <c r="Q114" i="30"/>
  <c r="M114" i="30"/>
  <c r="N114" i="30" s="1"/>
  <c r="P114" i="30" s="1"/>
  <c r="R113" i="30"/>
  <c r="T113" i="30" s="1"/>
  <c r="Q113" i="30"/>
  <c r="M113" i="30"/>
  <c r="N113" i="30" s="1"/>
  <c r="P113" i="30" s="1"/>
  <c r="R112" i="30"/>
  <c r="T112" i="30" s="1"/>
  <c r="Q112" i="30"/>
  <c r="M112" i="30"/>
  <c r="N112" i="30" s="1"/>
  <c r="P112" i="30" s="1"/>
  <c r="R111" i="30"/>
  <c r="T111" i="30" s="1"/>
  <c r="Q111" i="30"/>
  <c r="M111" i="30"/>
  <c r="N111" i="30" s="1"/>
  <c r="P111" i="30" s="1"/>
  <c r="R110" i="30"/>
  <c r="T110" i="30" s="1"/>
  <c r="Q110" i="30"/>
  <c r="M110" i="30"/>
  <c r="N110" i="30" s="1"/>
  <c r="P110" i="30" s="1"/>
  <c r="R109" i="30"/>
  <c r="T109" i="30" s="1"/>
  <c r="Q109" i="30"/>
  <c r="M109" i="30"/>
  <c r="N109" i="30" s="1"/>
  <c r="P109" i="30" s="1"/>
  <c r="R108" i="30"/>
  <c r="T108" i="30" s="1"/>
  <c r="Q108" i="30"/>
  <c r="M108" i="30"/>
  <c r="N108" i="30" s="1"/>
  <c r="P108" i="30" s="1"/>
  <c r="R107" i="30"/>
  <c r="T107" i="30" s="1"/>
  <c r="Q107" i="30"/>
  <c r="M107" i="30"/>
  <c r="N107" i="30" s="1"/>
  <c r="P107" i="30" s="1"/>
  <c r="R106" i="30"/>
  <c r="T106" i="30" s="1"/>
  <c r="Q106" i="30"/>
  <c r="M106" i="30"/>
  <c r="N106" i="30" s="1"/>
  <c r="P106" i="30" s="1"/>
  <c r="R104" i="30"/>
  <c r="T104" i="30" s="1"/>
  <c r="Q104" i="30"/>
  <c r="M104" i="30"/>
  <c r="N104" i="30" s="1"/>
  <c r="P104" i="30" s="1"/>
  <c r="R102" i="30"/>
  <c r="T102" i="30" s="1"/>
  <c r="Q102" i="30"/>
  <c r="M102" i="30"/>
  <c r="N102" i="30" s="1"/>
  <c r="P102" i="30" s="1"/>
  <c r="R100" i="30"/>
  <c r="T100" i="30" s="1"/>
  <c r="Q100" i="30"/>
  <c r="M100" i="30"/>
  <c r="N100" i="30" s="1"/>
  <c r="P100" i="30" s="1"/>
  <c r="R99" i="30"/>
  <c r="T99" i="30" s="1"/>
  <c r="Q99" i="30"/>
  <c r="M99" i="30"/>
  <c r="N99" i="30" s="1"/>
  <c r="P99" i="30" s="1"/>
  <c r="R97" i="30"/>
  <c r="T97" i="30" s="1"/>
  <c r="Q97" i="30"/>
  <c r="M97" i="30"/>
  <c r="N97" i="30" s="1"/>
  <c r="P97" i="30" s="1"/>
  <c r="R95" i="30"/>
  <c r="T95" i="30" s="1"/>
  <c r="Q95" i="30"/>
  <c r="M95" i="30"/>
  <c r="N95" i="30" s="1"/>
  <c r="P95" i="30" s="1"/>
  <c r="R94" i="30"/>
  <c r="T94" i="30" s="1"/>
  <c r="Q94" i="30"/>
  <c r="M94" i="30"/>
  <c r="N94" i="30" s="1"/>
  <c r="P94" i="30" s="1"/>
  <c r="R93" i="30"/>
  <c r="T93" i="30" s="1"/>
  <c r="Q93" i="30"/>
  <c r="M93" i="30"/>
  <c r="N93" i="30" s="1"/>
  <c r="P93" i="30" s="1"/>
  <c r="R92" i="30"/>
  <c r="T92" i="30" s="1"/>
  <c r="Q92" i="30"/>
  <c r="G92" i="30"/>
  <c r="D92" i="30"/>
  <c r="M92" i="30" s="1"/>
  <c r="N92" i="30" s="1"/>
  <c r="P92" i="30" s="1"/>
  <c r="R91" i="30"/>
  <c r="T91" i="30" s="1"/>
  <c r="Q91" i="30"/>
  <c r="M91" i="30"/>
  <c r="N91" i="30" s="1"/>
  <c r="P91" i="30" s="1"/>
  <c r="R90" i="30"/>
  <c r="T90" i="30" s="1"/>
  <c r="Q90" i="30"/>
  <c r="M90" i="30"/>
  <c r="N90" i="30" s="1"/>
  <c r="P90" i="30" s="1"/>
  <c r="M89" i="30"/>
  <c r="C89" i="30"/>
  <c r="N89" i="30" s="1"/>
  <c r="P89" i="30" s="1"/>
  <c r="P47" i="29"/>
  <c r="P45" i="29"/>
  <c r="P44" i="29"/>
  <c r="O47" i="29"/>
  <c r="O48" i="29" s="1"/>
  <c r="D7" i="21"/>
  <c r="D12" i="21" s="1"/>
  <c r="D16" i="21" s="1"/>
  <c r="F30" i="21"/>
  <c r="D30" i="21"/>
  <c r="B30" i="21"/>
  <c r="H29" i="21"/>
  <c r="D43" i="21" s="1"/>
  <c r="H28" i="21"/>
  <c r="D42" i="21" s="1"/>
  <c r="H27" i="21"/>
  <c r="D41" i="21" s="1"/>
  <c r="H26" i="21"/>
  <c r="H25" i="21"/>
  <c r="D39" i="21" s="1"/>
  <c r="H24" i="21"/>
  <c r="J16" i="21"/>
  <c r="B16" i="21"/>
  <c r="L13" i="21"/>
  <c r="H12" i="21"/>
  <c r="H16" i="21" s="1"/>
  <c r="F12" i="21"/>
  <c r="F16" i="21" s="1"/>
  <c r="B12" i="21"/>
  <c r="L11" i="21"/>
  <c r="B43" i="21" s="1"/>
  <c r="F43" i="21" s="1"/>
  <c r="L10" i="21"/>
  <c r="B42" i="21" s="1"/>
  <c r="L9" i="21"/>
  <c r="B41" i="21" s="1"/>
  <c r="L8" i="21"/>
  <c r="B40" i="21" s="1"/>
  <c r="F40" i="21" s="1"/>
  <c r="L7" i="21"/>
  <c r="B39" i="21" s="1"/>
  <c r="L6" i="21"/>
  <c r="B38" i="21" s="1"/>
  <c r="F39" i="21" l="1"/>
  <c r="AE145" i="30"/>
  <c r="AJ145" i="30"/>
  <c r="AE139" i="30"/>
  <c r="AE147" i="30" s="1"/>
  <c r="AJ141" i="30"/>
  <c r="AE141" i="30"/>
  <c r="AJ143" i="30"/>
  <c r="AE143" i="30"/>
  <c r="AJ146" i="30"/>
  <c r="AE146" i="30"/>
  <c r="AE142" i="30"/>
  <c r="AJ142" i="30"/>
  <c r="AE140" i="30"/>
  <c r="AJ140" i="30"/>
  <c r="Q89" i="30"/>
  <c r="Q116" i="30"/>
  <c r="R116" i="30" s="1"/>
  <c r="T116" i="30" s="1"/>
  <c r="N117" i="30"/>
  <c r="P117" i="30" s="1"/>
  <c r="Q118" i="30"/>
  <c r="R118" i="30" s="1"/>
  <c r="T118" i="30" s="1"/>
  <c r="N119" i="30"/>
  <c r="P119" i="30" s="1"/>
  <c r="AI139" i="30"/>
  <c r="AI147" i="30" s="1"/>
  <c r="F41" i="21"/>
  <c r="H30" i="21"/>
  <c r="H31" i="21"/>
  <c r="B44" i="21"/>
  <c r="F42" i="21"/>
  <c r="L17" i="21"/>
  <c r="L12" i="21"/>
  <c r="L16" i="21" s="1"/>
  <c r="D38" i="21"/>
  <c r="D44" i="21" s="1"/>
  <c r="Q73" i="30"/>
  <c r="Q74" i="30" s="1"/>
  <c r="Q72" i="30"/>
  <c r="R89" i="30" l="1"/>
  <c r="Q147" i="30"/>
  <c r="AJ139" i="30"/>
  <c r="AJ147" i="30" s="1"/>
  <c r="F45" i="21"/>
  <c r="F38" i="21"/>
  <c r="F44" i="21" s="1"/>
  <c r="F48" i="29"/>
  <c r="G48" i="29" s="1"/>
  <c r="H48" i="29" s="1"/>
  <c r="I48" i="29" s="1"/>
  <c r="J48" i="29" s="1"/>
  <c r="K48" i="29" s="1"/>
  <c r="L48" i="29" s="1"/>
  <c r="M48" i="29" s="1"/>
  <c r="N48" i="29" s="1"/>
  <c r="E48" i="29"/>
  <c r="D48" i="29"/>
  <c r="N47" i="29"/>
  <c r="M47" i="29"/>
  <c r="L47" i="29"/>
  <c r="K47" i="29"/>
  <c r="J47" i="29"/>
  <c r="I47" i="29"/>
  <c r="H47" i="29"/>
  <c r="G47" i="29"/>
  <c r="F47" i="29"/>
  <c r="E47" i="29"/>
  <c r="D47" i="29"/>
  <c r="T89" i="30" l="1"/>
  <c r="T147" i="30" s="1"/>
  <c r="R147" i="30"/>
  <c r="U57" i="31"/>
  <c r="T57" i="31"/>
  <c r="S57" i="31"/>
  <c r="V56" i="31"/>
  <c r="W56" i="31" s="1"/>
  <c r="V54" i="31"/>
  <c r="W54" i="31" s="1"/>
  <c r="V53" i="31"/>
  <c r="W53" i="31" s="1"/>
  <c r="V52" i="31"/>
  <c r="W52" i="31" s="1"/>
  <c r="V51" i="31"/>
  <c r="W51" i="31" s="1"/>
  <c r="V50" i="31"/>
  <c r="W50" i="31" s="1"/>
  <c r="V49" i="31"/>
  <c r="W49" i="31" s="1"/>
  <c r="V48" i="31"/>
  <c r="W48" i="31" s="1"/>
  <c r="V47" i="31"/>
  <c r="W47" i="31" s="1"/>
  <c r="V46" i="31"/>
  <c r="W46" i="31" s="1"/>
  <c r="V45" i="31"/>
  <c r="W45" i="31" s="1"/>
  <c r="V44" i="31"/>
  <c r="W44" i="31" s="1"/>
  <c r="V43" i="31"/>
  <c r="W43" i="31" s="1"/>
  <c r="W57" i="31" s="1"/>
  <c r="W42" i="31"/>
  <c r="V42" i="31"/>
  <c r="W40" i="31"/>
  <c r="V40" i="31"/>
  <c r="AH63" i="30"/>
  <c r="AG63" i="30"/>
  <c r="AF63" i="30"/>
  <c r="W58" i="31" l="1"/>
  <c r="V57" i="31"/>
  <c r="K37" i="29" l="1"/>
  <c r="K36" i="29"/>
  <c r="K35" i="29"/>
  <c r="K34" i="29"/>
  <c r="I37" i="29"/>
  <c r="I36" i="29"/>
  <c r="I35" i="29"/>
  <c r="I34" i="29"/>
  <c r="G37" i="29"/>
  <c r="G36" i="29"/>
  <c r="G35" i="29"/>
  <c r="G34" i="29"/>
  <c r="H38" i="29"/>
  <c r="J38" i="29"/>
  <c r="K39" i="29" s="1"/>
  <c r="I38" i="29"/>
  <c r="F38" i="29"/>
  <c r="G39" i="29" s="1"/>
  <c r="E38" i="29"/>
  <c r="G38" i="29" l="1"/>
  <c r="K38" i="29"/>
  <c r="Q57" i="31"/>
  <c r="P57" i="31"/>
  <c r="O57" i="31"/>
  <c r="N57" i="31"/>
  <c r="M57" i="31"/>
  <c r="L57" i="31"/>
  <c r="K57" i="31"/>
  <c r="J57" i="31"/>
  <c r="I57" i="31"/>
  <c r="H57" i="31"/>
  <c r="R62" i="31"/>
  <c r="R61" i="31"/>
  <c r="R60" i="31"/>
  <c r="R39" i="31"/>
  <c r="R31" i="31"/>
  <c r="R30" i="31"/>
  <c r="R29" i="31"/>
  <c r="Q63" i="31"/>
  <c r="R63" i="31" s="1"/>
  <c r="Q62" i="31"/>
  <c r="Q61" i="31"/>
  <c r="Q60" i="31"/>
  <c r="Q56" i="31"/>
  <c r="R56" i="31" s="1"/>
  <c r="Q54" i="31"/>
  <c r="R54" i="31" s="1"/>
  <c r="Q53" i="31"/>
  <c r="R53" i="31" s="1"/>
  <c r="Q52" i="31"/>
  <c r="R52" i="31" s="1"/>
  <c r="Q51" i="31"/>
  <c r="R51" i="31" s="1"/>
  <c r="Q50" i="31"/>
  <c r="R50" i="31" s="1"/>
  <c r="Q49" i="31"/>
  <c r="R49" i="31" s="1"/>
  <c r="Q48" i="31"/>
  <c r="R48" i="31" s="1"/>
  <c r="Q47" i="31"/>
  <c r="R47" i="31" s="1"/>
  <c r="Q46" i="31"/>
  <c r="R46" i="31" s="1"/>
  <c r="Q45" i="31"/>
  <c r="R45" i="31" s="1"/>
  <c r="Q44" i="31"/>
  <c r="R44" i="31" s="1"/>
  <c r="Q43" i="31"/>
  <c r="R43" i="31" s="1"/>
  <c r="Q42" i="31"/>
  <c r="R42" i="31" s="1"/>
  <c r="Q40" i="31"/>
  <c r="R40" i="31" s="1"/>
  <c r="Q39" i="31"/>
  <c r="Q38" i="31"/>
  <c r="R38" i="31" s="1"/>
  <c r="Q37" i="31"/>
  <c r="R37" i="31" s="1"/>
  <c r="Q36" i="31"/>
  <c r="R36" i="31" s="1"/>
  <c r="Q35" i="31"/>
  <c r="R35" i="31" s="1"/>
  <c r="Q34" i="31"/>
  <c r="R34" i="31" s="1"/>
  <c r="Q33" i="31"/>
  <c r="R33" i="31" s="1"/>
  <c r="Q32" i="31"/>
  <c r="R32" i="31" s="1"/>
  <c r="Q31" i="31"/>
  <c r="Q30" i="31"/>
  <c r="Q29" i="31"/>
  <c r="AC63" i="30"/>
  <c r="AB63" i="30"/>
  <c r="AA63" i="30"/>
  <c r="Z63" i="30"/>
  <c r="Y63" i="30"/>
  <c r="X63" i="30"/>
  <c r="W63" i="30"/>
  <c r="V63" i="30"/>
  <c r="U63" i="30"/>
  <c r="AD62" i="30"/>
  <c r="AD61" i="30"/>
  <c r="AD59" i="30"/>
  <c r="AD58" i="30"/>
  <c r="AI58" i="30" s="1"/>
  <c r="AD57" i="30"/>
  <c r="AI57" i="30" s="1"/>
  <c r="AD56" i="30"/>
  <c r="AI56" i="30" s="1"/>
  <c r="AD55" i="30"/>
  <c r="AI55" i="30" s="1"/>
  <c r="AD63" i="30" l="1"/>
  <c r="AI59" i="30"/>
  <c r="AI61" i="30"/>
  <c r="AI62" i="30"/>
  <c r="R57" i="31"/>
  <c r="H10" i="29"/>
  <c r="E10" i="29"/>
  <c r="J30" i="29"/>
  <c r="G30" i="29"/>
  <c r="F30" i="29"/>
  <c r="E30" i="29"/>
  <c r="I29" i="29"/>
  <c r="K29" i="29" s="1"/>
  <c r="H29" i="29"/>
  <c r="K28" i="29"/>
  <c r="I28" i="29"/>
  <c r="H28" i="29"/>
  <c r="L28" i="29" s="1"/>
  <c r="I27" i="29"/>
  <c r="K27" i="29" s="1"/>
  <c r="H27" i="29"/>
  <c r="K26" i="29"/>
  <c r="I26" i="29"/>
  <c r="H26" i="29"/>
  <c r="H30" i="29" s="1"/>
  <c r="E22" i="29"/>
  <c r="G21" i="29"/>
  <c r="F21" i="29"/>
  <c r="G20" i="29"/>
  <c r="F20" i="29"/>
  <c r="F19" i="29"/>
  <c r="G19" i="29" s="1"/>
  <c r="F18" i="29"/>
  <c r="G18" i="29" s="1"/>
  <c r="E6" i="32"/>
  <c r="S63" i="30"/>
  <c r="F63" i="31"/>
  <c r="F57" i="31"/>
  <c r="AI63" i="30" l="1"/>
  <c r="I30" i="29"/>
  <c r="K30" i="29"/>
  <c r="L27" i="29"/>
  <c r="F22" i="29"/>
  <c r="G22" i="29"/>
  <c r="L29" i="29"/>
  <c r="L26" i="29"/>
  <c r="E62" i="31"/>
  <c r="G62" i="31" s="1"/>
  <c r="E61" i="31"/>
  <c r="G61" i="31" s="1"/>
  <c r="E60" i="31"/>
  <c r="C63" i="31"/>
  <c r="D63" i="31"/>
  <c r="E63" i="31" l="1"/>
  <c r="G60" i="31"/>
  <c r="G63" i="31" s="1"/>
  <c r="L30" i="29"/>
  <c r="D5" i="31"/>
  <c r="D57" i="31" s="1"/>
  <c r="C5" i="31"/>
  <c r="C57" i="31" s="1"/>
  <c r="E56" i="31"/>
  <c r="G56" i="31" s="1"/>
  <c r="E54" i="31"/>
  <c r="G54" i="31" s="1"/>
  <c r="E53" i="31"/>
  <c r="G53" i="31" s="1"/>
  <c r="E52" i="31"/>
  <c r="G52" i="31" s="1"/>
  <c r="E51" i="31"/>
  <c r="G51" i="31" s="1"/>
  <c r="E50" i="31"/>
  <c r="G50" i="31" s="1"/>
  <c r="E49" i="31"/>
  <c r="G49" i="31" s="1"/>
  <c r="E48" i="31"/>
  <c r="G48" i="31" s="1"/>
  <c r="E47" i="31"/>
  <c r="G47" i="31" s="1"/>
  <c r="E46" i="31"/>
  <c r="G46" i="31" s="1"/>
  <c r="E45" i="31"/>
  <c r="G45" i="31" s="1"/>
  <c r="E44" i="31"/>
  <c r="G44" i="31" s="1"/>
  <c r="E43" i="31"/>
  <c r="G43" i="31" s="1"/>
  <c r="E42" i="31"/>
  <c r="G42" i="31" s="1"/>
  <c r="E40" i="31"/>
  <c r="G40" i="31" s="1"/>
  <c r="E38" i="31"/>
  <c r="G38" i="31" s="1"/>
  <c r="E37" i="31"/>
  <c r="G37" i="31" s="1"/>
  <c r="E36" i="31"/>
  <c r="G36" i="31" s="1"/>
  <c r="E35" i="31"/>
  <c r="G35" i="31" s="1"/>
  <c r="E34" i="31"/>
  <c r="G34" i="31" s="1"/>
  <c r="E33" i="31"/>
  <c r="G33" i="31" s="1"/>
  <c r="E32" i="31"/>
  <c r="G32" i="31" s="1"/>
  <c r="E31" i="31"/>
  <c r="G31" i="31" s="1"/>
  <c r="E30" i="31"/>
  <c r="G30" i="31" s="1"/>
  <c r="E29" i="31"/>
  <c r="G29" i="31" s="1"/>
  <c r="E27" i="31"/>
  <c r="G27" i="31" s="1"/>
  <c r="E26" i="31"/>
  <c r="G26" i="31" s="1"/>
  <c r="E25" i="31"/>
  <c r="G25" i="31" s="1"/>
  <c r="E24" i="31"/>
  <c r="G24" i="31" s="1"/>
  <c r="E22" i="31"/>
  <c r="G22" i="31" s="1"/>
  <c r="E21" i="31"/>
  <c r="G21" i="31" s="1"/>
  <c r="E20" i="31"/>
  <c r="G20" i="31" s="1"/>
  <c r="E19" i="31"/>
  <c r="G19" i="31" s="1"/>
  <c r="E18" i="31"/>
  <c r="G18" i="31" s="1"/>
  <c r="E17" i="31"/>
  <c r="G17" i="31" s="1"/>
  <c r="E16" i="31"/>
  <c r="G16" i="31" s="1"/>
  <c r="E14" i="31"/>
  <c r="G14" i="31" s="1"/>
  <c r="E13" i="31"/>
  <c r="G13" i="31" s="1"/>
  <c r="E12" i="31"/>
  <c r="G12" i="31" s="1"/>
  <c r="E11" i="31"/>
  <c r="G11" i="31" s="1"/>
  <c r="E10" i="31"/>
  <c r="G10" i="31" s="1"/>
  <c r="E9" i="31"/>
  <c r="G9" i="31" s="1"/>
  <c r="E8" i="31"/>
  <c r="G8" i="31" s="1"/>
  <c r="E7" i="31"/>
  <c r="G7" i="31" s="1"/>
  <c r="E6" i="31"/>
  <c r="G6" i="31" s="1"/>
  <c r="R62" i="30"/>
  <c r="T62" i="30" s="1"/>
  <c r="R61" i="30"/>
  <c r="T61" i="30" s="1"/>
  <c r="R59" i="30"/>
  <c r="T59" i="30" s="1"/>
  <c r="R58" i="30"/>
  <c r="T58" i="30" s="1"/>
  <c r="R57" i="30"/>
  <c r="T57" i="30" s="1"/>
  <c r="R56" i="30"/>
  <c r="T56" i="30" s="1"/>
  <c r="R55" i="30"/>
  <c r="T55" i="30" s="1"/>
  <c r="R53" i="30"/>
  <c r="T53" i="30" s="1"/>
  <c r="R51" i="30"/>
  <c r="T51" i="30" s="1"/>
  <c r="R50" i="30"/>
  <c r="T50" i="30" s="1"/>
  <c r="R49" i="30"/>
  <c r="T49" i="30" s="1"/>
  <c r="R47" i="30"/>
  <c r="T47" i="30" s="1"/>
  <c r="P47" i="30"/>
  <c r="Q45" i="30"/>
  <c r="R45" i="30" s="1"/>
  <c r="T45" i="30" s="1"/>
  <c r="M45" i="30"/>
  <c r="N45" i="30" s="1"/>
  <c r="P45" i="30" s="1"/>
  <c r="Q44" i="30"/>
  <c r="R44" i="30" s="1"/>
  <c r="T44" i="30" s="1"/>
  <c r="M44" i="30"/>
  <c r="N44" i="30" s="1"/>
  <c r="P44" i="30" s="1"/>
  <c r="Q43" i="30"/>
  <c r="R43" i="30" s="1"/>
  <c r="T43" i="30" s="1"/>
  <c r="M43" i="30"/>
  <c r="N43" i="30" s="1"/>
  <c r="P43" i="30" s="1"/>
  <c r="Q42" i="30"/>
  <c r="R42" i="30" s="1"/>
  <c r="T42" i="30" s="1"/>
  <c r="M42" i="30"/>
  <c r="N42" i="30" s="1"/>
  <c r="P42" i="30" s="1"/>
  <c r="R40" i="30"/>
  <c r="T40" i="30" s="1"/>
  <c r="M40" i="30"/>
  <c r="N40" i="30" s="1"/>
  <c r="P40" i="30" s="1"/>
  <c r="R39" i="30"/>
  <c r="T39" i="30" s="1"/>
  <c r="M39" i="30"/>
  <c r="N39" i="30" s="1"/>
  <c r="P39" i="30" s="1"/>
  <c r="R38" i="30"/>
  <c r="T38" i="30" s="1"/>
  <c r="M38" i="30"/>
  <c r="N38" i="30" s="1"/>
  <c r="P38" i="30" s="1"/>
  <c r="R37" i="30"/>
  <c r="T37" i="30" s="1"/>
  <c r="K37" i="30"/>
  <c r="M35" i="30"/>
  <c r="N35" i="30" s="1"/>
  <c r="P35" i="30" s="1"/>
  <c r="M34" i="30"/>
  <c r="N34" i="30" s="1"/>
  <c r="P34" i="30" s="1"/>
  <c r="M33" i="30"/>
  <c r="Q33" i="30" s="1"/>
  <c r="R33" i="30" s="1"/>
  <c r="T33" i="30" s="1"/>
  <c r="M32" i="30"/>
  <c r="N32" i="30" s="1"/>
  <c r="P32" i="30" s="1"/>
  <c r="Q30" i="30"/>
  <c r="R30" i="30" s="1"/>
  <c r="T30" i="30" s="1"/>
  <c r="M30" i="30"/>
  <c r="N30" i="30" s="1"/>
  <c r="P30" i="30" s="1"/>
  <c r="Q29" i="30"/>
  <c r="R29" i="30" s="1"/>
  <c r="T29" i="30" s="1"/>
  <c r="M29" i="30"/>
  <c r="N29" i="30" s="1"/>
  <c r="P29" i="30" s="1"/>
  <c r="Q28" i="30"/>
  <c r="R28" i="30" s="1"/>
  <c r="T28" i="30" s="1"/>
  <c r="M28" i="30"/>
  <c r="N28" i="30" s="1"/>
  <c r="P28" i="30" s="1"/>
  <c r="Q27" i="30"/>
  <c r="R27" i="30" s="1"/>
  <c r="T27" i="30" s="1"/>
  <c r="M27" i="30"/>
  <c r="N27" i="30" s="1"/>
  <c r="P27" i="30" s="1"/>
  <c r="Q26" i="30"/>
  <c r="R26" i="30" s="1"/>
  <c r="T26" i="30" s="1"/>
  <c r="M26" i="30"/>
  <c r="N26" i="30" s="1"/>
  <c r="P26" i="30" s="1"/>
  <c r="Q25" i="30"/>
  <c r="R25" i="30" s="1"/>
  <c r="T25" i="30" s="1"/>
  <c r="M25" i="30"/>
  <c r="N25" i="30" s="1"/>
  <c r="P25" i="30" s="1"/>
  <c r="Q24" i="30"/>
  <c r="R24" i="30" s="1"/>
  <c r="T24" i="30" s="1"/>
  <c r="M24" i="30"/>
  <c r="N24" i="30" s="1"/>
  <c r="P24" i="30" s="1"/>
  <c r="Q23" i="30"/>
  <c r="R23" i="30" s="1"/>
  <c r="T23" i="30" s="1"/>
  <c r="M23" i="30"/>
  <c r="N23" i="30" s="1"/>
  <c r="P23" i="30" s="1"/>
  <c r="Q22" i="30"/>
  <c r="R22" i="30" s="1"/>
  <c r="T22" i="30" s="1"/>
  <c r="M22" i="30"/>
  <c r="N22" i="30" s="1"/>
  <c r="P22" i="30" s="1"/>
  <c r="Q20" i="30"/>
  <c r="R20" i="30" s="1"/>
  <c r="T20" i="30" s="1"/>
  <c r="M20" i="30"/>
  <c r="N20" i="30" s="1"/>
  <c r="P20" i="30" s="1"/>
  <c r="Q18" i="30"/>
  <c r="R18" i="30" s="1"/>
  <c r="T18" i="30" s="1"/>
  <c r="M18" i="30"/>
  <c r="N18" i="30" s="1"/>
  <c r="P18" i="30" s="1"/>
  <c r="Q16" i="30"/>
  <c r="R16" i="30" s="1"/>
  <c r="T16" i="30" s="1"/>
  <c r="M16" i="30"/>
  <c r="N16" i="30" s="1"/>
  <c r="P16" i="30" s="1"/>
  <c r="Q15" i="30"/>
  <c r="R15" i="30" s="1"/>
  <c r="T15" i="30" s="1"/>
  <c r="M15" i="30"/>
  <c r="N15" i="30" s="1"/>
  <c r="P15" i="30" s="1"/>
  <c r="Q13" i="30"/>
  <c r="R13" i="30" s="1"/>
  <c r="T13" i="30" s="1"/>
  <c r="M13" i="30"/>
  <c r="N13" i="30" s="1"/>
  <c r="P13" i="30" s="1"/>
  <c r="Q11" i="30"/>
  <c r="R11" i="30" s="1"/>
  <c r="T11" i="30" s="1"/>
  <c r="M11" i="30"/>
  <c r="N11" i="30" s="1"/>
  <c r="P11" i="30" s="1"/>
  <c r="Q10" i="30"/>
  <c r="R10" i="30" s="1"/>
  <c r="T10" i="30" s="1"/>
  <c r="M10" i="30"/>
  <c r="N10" i="30" s="1"/>
  <c r="P10" i="30" s="1"/>
  <c r="Q9" i="30"/>
  <c r="R9" i="30" s="1"/>
  <c r="T9" i="30" s="1"/>
  <c r="M9" i="30"/>
  <c r="N9" i="30" s="1"/>
  <c r="P9" i="30" s="1"/>
  <c r="Q8" i="30"/>
  <c r="R8" i="30" s="1"/>
  <c r="T8" i="30" s="1"/>
  <c r="G8" i="30"/>
  <c r="D8" i="30"/>
  <c r="Q7" i="30"/>
  <c r="R7" i="30" s="1"/>
  <c r="T7" i="30" s="1"/>
  <c r="M7" i="30"/>
  <c r="N7" i="30" s="1"/>
  <c r="P7" i="30" s="1"/>
  <c r="Q6" i="30"/>
  <c r="R6" i="30" s="1"/>
  <c r="T6" i="30" s="1"/>
  <c r="M6" i="30"/>
  <c r="N6" i="30" s="1"/>
  <c r="P6" i="30" s="1"/>
  <c r="M5" i="30"/>
  <c r="C5" i="30"/>
  <c r="C63" i="30" s="1"/>
  <c r="F8" i="29"/>
  <c r="G8" i="29" s="1"/>
  <c r="I8" i="29" s="1"/>
  <c r="F9" i="29"/>
  <c r="F7" i="29"/>
  <c r="G7" i="29" s="1"/>
  <c r="I7" i="29" s="1"/>
  <c r="F6" i="29"/>
  <c r="AJ58" i="30" l="1"/>
  <c r="AE58" i="30"/>
  <c r="AE55" i="30"/>
  <c r="AJ55" i="30"/>
  <c r="AJ59" i="30"/>
  <c r="AE59" i="30"/>
  <c r="AJ56" i="30"/>
  <c r="AE56" i="30"/>
  <c r="AE61" i="30"/>
  <c r="AJ61" i="30"/>
  <c r="AE57" i="30"/>
  <c r="AJ57" i="30"/>
  <c r="AJ62" i="30"/>
  <c r="AE62" i="30"/>
  <c r="G6" i="29"/>
  <c r="F10" i="29"/>
  <c r="E5" i="31"/>
  <c r="Q32" i="30"/>
  <c r="R32" i="30" s="1"/>
  <c r="T32" i="30" s="1"/>
  <c r="Q35" i="30"/>
  <c r="R35" i="30" s="1"/>
  <c r="T35" i="30" s="1"/>
  <c r="Q34" i="30"/>
  <c r="R34" i="30" s="1"/>
  <c r="T34" i="30" s="1"/>
  <c r="M37" i="30"/>
  <c r="N37" i="30" s="1"/>
  <c r="P37" i="30" s="1"/>
  <c r="N5" i="30"/>
  <c r="P5" i="30" s="1"/>
  <c r="Q5" i="30"/>
  <c r="M8" i="30"/>
  <c r="N8" i="30" s="1"/>
  <c r="P8" i="30" s="1"/>
  <c r="N33" i="30"/>
  <c r="P33" i="30" s="1"/>
  <c r="G9" i="29"/>
  <c r="I9" i="29" s="1"/>
  <c r="AJ63" i="30" l="1"/>
  <c r="AE63" i="30"/>
  <c r="E57" i="31"/>
  <c r="G5" i="31"/>
  <c r="G57" i="31" s="1"/>
  <c r="I6" i="29"/>
  <c r="I10" i="29" s="1"/>
  <c r="G10" i="29"/>
  <c r="Q63" i="30"/>
  <c r="R5" i="30"/>
  <c r="R63" i="30" l="1"/>
  <c r="T5" i="30"/>
  <c r="T63" i="30" s="1"/>
  <c r="AF71" i="30" l="1"/>
  <c r="AG71" i="30" s="1"/>
  <c r="AH71" i="30" s="1"/>
  <c r="U150" i="30"/>
  <c r="V150" i="30" s="1"/>
  <c r="W150" i="30" s="1"/>
  <c r="X150" i="30" s="1"/>
  <c r="Y150" i="30" s="1"/>
  <c r="Z150" i="30" s="1"/>
  <c r="AA150" i="30" s="1"/>
  <c r="AB150" i="30" s="1"/>
  <c r="AC150" i="30" s="1"/>
  <c r="AF150" i="30" s="1"/>
  <c r="AG150" i="30" s="1"/>
  <c r="AH150" i="30" s="1"/>
</calcChain>
</file>

<file path=xl/sharedStrings.xml><?xml version="1.0" encoding="utf-8"?>
<sst xmlns="http://schemas.openxmlformats.org/spreadsheetml/2006/main" count="627" uniqueCount="214">
  <si>
    <t>ESCRITORIOS SILLAS SILLON</t>
  </si>
  <si>
    <t>SILLAS MODELO IMPORTADO</t>
  </si>
  <si>
    <t>2 SILLONES CONTORNO</t>
  </si>
  <si>
    <t>ENFRIADOR DE VENTANA</t>
  </si>
  <si>
    <t>AIRE ACONDICIONADO 24000</t>
  </si>
  <si>
    <t>SPLIT INVERTER 24000</t>
  </si>
  <si>
    <t>SILLON EUFORIA</t>
  </si>
  <si>
    <t>DIVISION DE AMBIENTE MIXTO</t>
  </si>
  <si>
    <t xml:space="preserve">MESAS </t>
  </si>
  <si>
    <t>MUEBLE UNA SOLA SUPERFICIE</t>
  </si>
  <si>
    <t>IMPRESORA HP</t>
  </si>
  <si>
    <t>COMPUTADOR HP COMPACK</t>
  </si>
  <si>
    <t>APPLE MACBOOK</t>
  </si>
  <si>
    <t>IMPRESORA EPSON FX</t>
  </si>
  <si>
    <t>IMPRESORA EPSON L200</t>
  </si>
  <si>
    <t>IMAC 21 LED</t>
  </si>
  <si>
    <t>IMAC 21.5 LED</t>
  </si>
  <si>
    <t>COMPUTADOR PARA SUPERVISION INTEL I3</t>
  </si>
  <si>
    <t>COMPRA DE IPAD 32G</t>
  </si>
  <si>
    <t>COMPRA DE IPAD 32G *2 UNIDADES</t>
  </si>
  <si>
    <t>MACBOOK PRO</t>
  </si>
  <si>
    <t>MUEBLES Y ENSERES</t>
  </si>
  <si>
    <t>CAMARA CANON</t>
  </si>
  <si>
    <t>ARMARIO METALICO 3 REPISAS</t>
  </si>
  <si>
    <t>PLANCHA VAPOR OFICINA</t>
  </si>
  <si>
    <t xml:space="preserve">PERFORADORA ENCUADERNACION </t>
  </si>
  <si>
    <t>CAMARA DIGITAL BENQ</t>
  </si>
  <si>
    <t>CAMARA DIGITAL 32M</t>
  </si>
  <si>
    <t>COMPRA ESCRITORIO SILLAS</t>
  </si>
  <si>
    <t>ESCRITORIO Y MUEBLES PARA OFICINA</t>
  </si>
  <si>
    <t xml:space="preserve"> </t>
  </si>
  <si>
    <t>VISACOM S.A.</t>
  </si>
  <si>
    <t>Costo.Adq.</t>
  </si>
  <si>
    <t>Costo adq.</t>
  </si>
  <si>
    <t>DEP.2015</t>
  </si>
  <si>
    <t>saldo año 2.006</t>
  </si>
  <si>
    <t>DEP.2006</t>
  </si>
  <si>
    <t>DEP.2007</t>
  </si>
  <si>
    <t>DEP.2008</t>
  </si>
  <si>
    <t>DEP.2009</t>
  </si>
  <si>
    <t>DEP.2010</t>
  </si>
  <si>
    <t>DEP.2011</t>
  </si>
  <si>
    <t>DEP.2012</t>
  </si>
  <si>
    <t>DEP.2013</t>
  </si>
  <si>
    <t>DEP.2014</t>
  </si>
  <si>
    <t>ARTURITO METALICO</t>
  </si>
  <si>
    <t>SILLONES Y SILLAS GCIA</t>
  </si>
  <si>
    <t>ESCRITORIOS Y COUNTER</t>
  </si>
  <si>
    <t>SILLAS DE VISITA</t>
  </si>
  <si>
    <t>SILLA EJECUTIVA</t>
  </si>
  <si>
    <t>ASPIRADORA 400 W</t>
  </si>
  <si>
    <t>EQUIPO AIRE ACOND.24.000 BTU</t>
  </si>
  <si>
    <t>SILLONES Y SOFA</t>
  </si>
  <si>
    <t>ESCRITORIOS PREMIUM</t>
  </si>
  <si>
    <t>saldo año 2.005</t>
  </si>
  <si>
    <t>neto al 31 dic 2014</t>
  </si>
  <si>
    <t>neto al 31 dic 2015</t>
  </si>
  <si>
    <t>IMPRESORA HP LASER JET</t>
  </si>
  <si>
    <t>LAPTOP GERENCIA</t>
  </si>
  <si>
    <t>COMPUTADORAS PARA SUPERVISORES</t>
  </si>
  <si>
    <t>Saldo inicial</t>
  </si>
  <si>
    <t>APPLE IMAC CORE DUO 2GHZ</t>
  </si>
  <si>
    <t>COMPUTADOR PENTIUM 4</t>
  </si>
  <si>
    <t>LICENCIA DOBRA</t>
  </si>
  <si>
    <t>APPLE MAC BOOK PRO</t>
  </si>
  <si>
    <t>MEMORIA 128 MB PARA IMPRESORA HP</t>
  </si>
  <si>
    <t>CAMARA WEB NIKON Y ACC.</t>
  </si>
  <si>
    <t>TOTAL DEP.ACUM 31 DIC 2014</t>
  </si>
  <si>
    <t>OTROS ACTIVOS</t>
  </si>
  <si>
    <t>EQ.AIRE ACONDICIONADO</t>
  </si>
  <si>
    <t>Valor en libros</t>
  </si>
  <si>
    <t>Neto en libros</t>
  </si>
  <si>
    <t>PORTATIL HP PAVILION CORE 3</t>
  </si>
  <si>
    <t>PORTATIL HP PROBOOK I3</t>
  </si>
  <si>
    <t>APPLE IMAC 27´ 8G.</t>
  </si>
  <si>
    <t>MACBOOK 15.4" MPTV2E/A 2.9 GHZ</t>
  </si>
  <si>
    <t>A   C   T   I   V   O   S - C O S T O   DE  A D Q U I S I C I O N</t>
  </si>
  <si>
    <t>US$</t>
  </si>
  <si>
    <t>CONCEPTO</t>
  </si>
  <si>
    <t>COSTO ADQ.</t>
  </si>
  <si>
    <t>RETIRO, BAJAS</t>
  </si>
  <si>
    <t>GASTO depr.</t>
  </si>
  <si>
    <t>SALDO AL</t>
  </si>
  <si>
    <t>ADQUISICION</t>
  </si>
  <si>
    <t>VENTAS</t>
  </si>
  <si>
    <t>EQUIPOS DE COMPUTACIÓN</t>
  </si>
  <si>
    <t>VEHÍCULOS</t>
  </si>
  <si>
    <t xml:space="preserve">INSTALACIONES </t>
  </si>
  <si>
    <t>DEP. ACUMULADA</t>
  </si>
  <si>
    <t>D   E   P   R   E   C   I   A   C   I   O   N         A  C  U  M  U  L  A  D  A</t>
  </si>
  <si>
    <t>SALDO DEP.ACU</t>
  </si>
  <si>
    <t>DEPRECIAC.</t>
  </si>
  <si>
    <t>TOTAL DEPRECIACION ACUM.A.FIJOS</t>
  </si>
  <si>
    <t>N E T O   EN  L I B R O S</t>
  </si>
  <si>
    <t>DEPREC.ACUM</t>
  </si>
  <si>
    <t>NETO</t>
  </si>
  <si>
    <t>GAFAS "OCULOS" CON ACCESORIOS</t>
  </si>
  <si>
    <t>1 PROCESADOR INTEL CORE 17-7700 3.5 GHZ</t>
  </si>
  <si>
    <t>2 PROCESADOR INTEL CORE 17-7700 3.5 GHZ</t>
  </si>
  <si>
    <t>EQUIPOS DE COMPUTACIÓN Y SOFTWARE</t>
  </si>
  <si>
    <t>Desarrollo modulo"PROYECTO" en Contifico</t>
  </si>
  <si>
    <t>APPLE IMAC 21.5" A2116 RETINA 4K MEM 8G.</t>
  </si>
  <si>
    <t>Placa</t>
  </si>
  <si>
    <t>Descripcion</t>
  </si>
  <si>
    <t>fecha</t>
  </si>
  <si>
    <t>Deprec.Acum</t>
  </si>
  <si>
    <t>APPLE IMAC 21.5" A2116 RETINA 4K MEM 1TB</t>
  </si>
  <si>
    <t>dep Acum 31 dic 2019</t>
  </si>
  <si>
    <t xml:space="preserve">MUEBLES Y ENSERES </t>
  </si>
  <si>
    <t xml:space="preserve">EQUIPOS DE COMPUTACION </t>
  </si>
  <si>
    <t>GSK6612</t>
  </si>
  <si>
    <t>GSP7419</t>
  </si>
  <si>
    <t>GSH1169</t>
  </si>
  <si>
    <t>GSN9327</t>
  </si>
  <si>
    <t>FURGONETA VAN N300 1.2 5P N300 MAX CARGO</t>
  </si>
  <si>
    <t>Motor</t>
  </si>
  <si>
    <t>LAQUE80720757</t>
  </si>
  <si>
    <t>NISSAN XTRAIL  XTREME 2.5  4X2</t>
  </si>
  <si>
    <t>QR25544720B</t>
  </si>
  <si>
    <t>NISSAN XTRAIL SENSE  CVT 2.5  4X2</t>
  </si>
  <si>
    <t>QR25415431L</t>
  </si>
  <si>
    <t>FORD ESCAPE  S AC 2.5  TA 4P</t>
  </si>
  <si>
    <t>EUB35500</t>
  </si>
  <si>
    <t xml:space="preserve">VEHICULOS </t>
  </si>
  <si>
    <t>PERCHAS METALICAS</t>
  </si>
  <si>
    <t>SILLONES CANCILLER</t>
  </si>
  <si>
    <t>ARCHIVADOR AEREO</t>
  </si>
  <si>
    <t>TV SAMSUNG SMART  55"</t>
  </si>
  <si>
    <t>ESTANTERIA VENTILADA NEGRA 4 niveles</t>
  </si>
  <si>
    <t>IMPRESORA SAMSUNG TONER M.2885</t>
  </si>
  <si>
    <t>4 SILLONES DE CUERO m.Euforia bajo</t>
  </si>
  <si>
    <t>ESCRITORIOS ANGULARES y VITRINAS</t>
  </si>
  <si>
    <t>ESCRITORIO JUNIOR 1.10X0.60 Y ARCHIVADOR</t>
  </si>
  <si>
    <t>8 AIRES ACONDIC.PANASONIC 12m y 18m BTU</t>
  </si>
  <si>
    <t>TELEFONO MULTIFUNCION Y CONSOLA7735</t>
  </si>
  <si>
    <t>SOFAS PERSONALES MOD.CONCORDE</t>
  </si>
  <si>
    <t>SISTEMA DE SEGURIDAD, SIRENA Y ACCES.</t>
  </si>
  <si>
    <t>SISTEMAS CAMARAS DE SEGURIDAD WIFI 2MP</t>
  </si>
  <si>
    <t>IMPRESORA HP LASERJET ENTERPRISE 500</t>
  </si>
  <si>
    <t>CPU-INTEL CORE I3-3240</t>
  </si>
  <si>
    <t>PORTATIL HP PAVILION G4-2050LA CORE13 14"</t>
  </si>
  <si>
    <t>COMPUTADOR PORTATIL</t>
  </si>
  <si>
    <t>CPU PARA EQ.SUPERVISORES</t>
  </si>
  <si>
    <t>LAPTOP -APPLE</t>
  </si>
  <si>
    <t>SOFTWARE-NAZCA</t>
  </si>
  <si>
    <t>CPU EQ. DISEÑO</t>
  </si>
  <si>
    <t>TELEFONO MULTIFUNCION FXT 7730</t>
  </si>
  <si>
    <t>Dep.2020</t>
  </si>
  <si>
    <t>EQUIPOS DE PROYECCION</t>
  </si>
  <si>
    <t>2 PROYECTORES LASER-NETWORK</t>
  </si>
  <si>
    <t>dep2020</t>
  </si>
  <si>
    <t xml:space="preserve"> AL 31 diciembre del 2020</t>
  </si>
  <si>
    <t xml:space="preserve"> AL 31 diciembre del 2020 -antes de reavaluo</t>
  </si>
  <si>
    <t xml:space="preserve"> AL 31 diciembre del 2020 - con reavaluo</t>
  </si>
  <si>
    <t>AJUSTE COSTO REAVALUO</t>
  </si>
  <si>
    <t>DEPRECIACION</t>
  </si>
  <si>
    <t xml:space="preserve">Valor </t>
  </si>
  <si>
    <t>(-)</t>
  </si>
  <si>
    <t>(+)</t>
  </si>
  <si>
    <t>Costo.Reval</t>
  </si>
  <si>
    <t>Aj.Deprc x Reav</t>
  </si>
  <si>
    <t>Total Dep.Acum</t>
  </si>
  <si>
    <t>en Libros</t>
  </si>
  <si>
    <t>REAVALUO</t>
  </si>
  <si>
    <t>EQUIPOS Y ACCESORIOS DE PROYECCION</t>
  </si>
  <si>
    <t>AJUSTES</t>
  </si>
  <si>
    <t>ene</t>
  </si>
  <si>
    <t>feb</t>
  </si>
  <si>
    <t>mar</t>
  </si>
  <si>
    <t>abr</t>
  </si>
  <si>
    <t>may</t>
  </si>
  <si>
    <t>jun</t>
  </si>
  <si>
    <t>jul</t>
  </si>
  <si>
    <t>ago</t>
  </si>
  <si>
    <t>total</t>
  </si>
  <si>
    <t>sep</t>
  </si>
  <si>
    <t>saldo</t>
  </si>
  <si>
    <t>D    E    P    R    E    C    I    A    C    I    O    N          2 0 2 1</t>
  </si>
  <si>
    <t>AL 31 DE DICIEMBRE DEL 2020 Y 30 SEPTIEMBRE DEL 2021</t>
  </si>
  <si>
    <t>AL 31 DE DICIEMBRE DEL 2020 Y 30 DE SEPTIEMBRE 2021</t>
  </si>
  <si>
    <t>Costo.</t>
  </si>
  <si>
    <t>Deprec Acum</t>
  </si>
  <si>
    <t>Valor a Deprec.</t>
  </si>
  <si>
    <t>Valor Residual</t>
  </si>
  <si>
    <t>vida util</t>
  </si>
  <si>
    <t>años</t>
  </si>
  <si>
    <t>Depre.Result</t>
  </si>
  <si>
    <t xml:space="preserve"> Residual</t>
  </si>
  <si>
    <t>oct</t>
  </si>
  <si>
    <t>nov</t>
  </si>
  <si>
    <t>dic</t>
  </si>
  <si>
    <t>AÑO 2021</t>
  </si>
  <si>
    <t>total Dep.Ac.</t>
  </si>
  <si>
    <t>Depreciacion mensual 2021</t>
  </si>
  <si>
    <t>Deprec.Mensual</t>
  </si>
  <si>
    <t>Deprec Acum Año</t>
  </si>
  <si>
    <t xml:space="preserve">Resumen anual </t>
  </si>
  <si>
    <t>Deprec.Acumul</t>
  </si>
  <si>
    <t>Saldo al 31dic2019</t>
  </si>
  <si>
    <t>Depreciacion 2020</t>
  </si>
  <si>
    <t>Depreciacion 2021 ene-nov</t>
  </si>
  <si>
    <t>Acumul.año</t>
  </si>
  <si>
    <t>us$</t>
  </si>
  <si>
    <t>ACTIVOS FIJOS AL 31 DE DICIEMBRE 2021</t>
  </si>
  <si>
    <t>ENE A DIC/21</t>
  </si>
  <si>
    <t>al 31 dic21</t>
  </si>
  <si>
    <t xml:space="preserve"> AL 31 diciembre del 2021 </t>
  </si>
  <si>
    <t>AL 31 DE DICIEMBRE DEL 2020 Y 31 DICIEMBRE DEL 2021</t>
  </si>
  <si>
    <t>IMPRESORA PARA CARTULINA</t>
  </si>
  <si>
    <t>IPHONE 13 256GB</t>
  </si>
  <si>
    <t>Saldo 30-09</t>
  </si>
  <si>
    <t>AL 31 DE DICIEMBRE DEL 2021</t>
  </si>
  <si>
    <t>PHOTOBOOTH</t>
  </si>
  <si>
    <t>Dep.2020-2021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</si>
</sst>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_ [$$-300A]\ * #,##0.00_ ;_ [$$-300A]\ * \-#,##0.00_ ;_ [$$-300A]\ * &quot;-&quot;??_ ;_ @_ "/>
  </numFmts>
  <fonts count="29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/>
      <sz val="8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0"/>
      <color theme="1"/>
      <name val="Arial Narrow"/>
      <family val="2"/>
    </font>
    <font>
      <b/>
      <sz val="8"/>
      <name val="Arial Unicode MS"/>
      <family val="2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name val="Arial Narrow"/>
      <family val="2"/>
    </font>
    <font>
      <b/>
      <sz val="16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Arial Narrow"/>
      <family val="2"/>
    </font>
    <font>
      <u/>
      <sz val="11"/>
      <color theme="1"/>
      <name val="Arial Narrow"/>
      <family val="2"/>
    </font>
    <font>
      <b/>
      <u/>
      <sz val="9"/>
      <color theme="1"/>
      <name val="Arial Narrow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4" fontId="0" fillId="0" borderId="0" xfId="0" applyNumberFormat="1"/>
    <xf numFmtId="0" fontId="0" fillId="0" borderId="0" xfId="0" applyFill="1"/>
    <xf numFmtId="4" fontId="0" fillId="0" borderId="2" xfId="0" applyNumberFormat="1" applyBorder="1"/>
    <xf numFmtId="0" fontId="0" fillId="0" borderId="0" xfId="0" applyBorder="1"/>
    <xf numFmtId="14" fontId="0" fillId="0" borderId="0" xfId="0" applyNumberFormat="1" applyFill="1"/>
    <xf numFmtId="4" fontId="0" fillId="0" borderId="0" xfId="0" applyNumberFormat="1" applyFill="1"/>
    <xf numFmtId="0" fontId="0" fillId="0" borderId="1" xfId="0" applyFill="1" applyBorder="1"/>
    <xf numFmtId="0" fontId="1" fillId="0" borderId="0" xfId="0" applyFont="1" applyFill="1" applyAlignment="1">
      <alignment horizontal="center"/>
    </xf>
    <xf numFmtId="0" fontId="0" fillId="0" borderId="0" xfId="0" applyFill="1" applyBorder="1"/>
    <xf numFmtId="4" fontId="0" fillId="0" borderId="0" xfId="0" applyNumberFormat="1" applyBorder="1"/>
    <xf numFmtId="4" fontId="0" fillId="0" borderId="0" xfId="0" applyNumberForma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6" xfId="0" applyBorder="1"/>
    <xf numFmtId="0" fontId="5" fillId="0" borderId="0" xfId="0" applyFont="1" applyFill="1"/>
    <xf numFmtId="4" fontId="0" fillId="0" borderId="1" xfId="0" applyNumberFormat="1" applyFill="1" applyBorder="1"/>
    <xf numFmtId="0" fontId="5" fillId="0" borderId="0" xfId="0" applyFont="1" applyFill="1" applyBorder="1"/>
    <xf numFmtId="0" fontId="1" fillId="0" borderId="0" xfId="0" applyFont="1" applyFill="1" applyAlignment="1">
      <alignment horizontal="center" wrapText="1"/>
    </xf>
    <xf numFmtId="15" fontId="0" fillId="0" borderId="0" xfId="0" applyNumberFormat="1" applyFill="1"/>
    <xf numFmtId="0" fontId="5" fillId="0" borderId="3" xfId="0" applyFont="1" applyFill="1" applyBorder="1"/>
    <xf numFmtId="4" fontId="4" fillId="0" borderId="0" xfId="0" applyNumberFormat="1" applyFont="1" applyFill="1" applyBorder="1" applyAlignment="1" applyProtection="1">
      <alignment horizontal="right" vertical="top"/>
      <protection locked="0"/>
    </xf>
    <xf numFmtId="4" fontId="4" fillId="0" borderId="0" xfId="0" applyNumberFormat="1" applyFont="1" applyFill="1" applyBorder="1"/>
    <xf numFmtId="0" fontId="4" fillId="0" borderId="0" xfId="0" applyFont="1" applyFill="1"/>
    <xf numFmtId="15" fontId="7" fillId="0" borderId="0" xfId="0" applyNumberFormat="1" applyFont="1"/>
    <xf numFmtId="0" fontId="0" fillId="0" borderId="0" xfId="0" applyAlignment="1">
      <alignment horizontal="center"/>
    </xf>
    <xf numFmtId="0" fontId="9" fillId="0" borderId="0" xfId="0" applyFont="1"/>
    <xf numFmtId="0" fontId="4" fillId="0" borderId="0" xfId="0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2" fillId="0" borderId="0" xfId="0" applyFont="1" applyFill="1"/>
    <xf numFmtId="0" fontId="10" fillId="0" borderId="0" xfId="0" applyFont="1" applyFill="1" applyBorder="1"/>
    <xf numFmtId="0" fontId="12" fillId="0" borderId="13" xfId="0" applyFont="1" applyFill="1" applyBorder="1"/>
    <xf numFmtId="0" fontId="5" fillId="0" borderId="6" xfId="0" applyFont="1" applyFill="1" applyBorder="1"/>
    <xf numFmtId="0" fontId="12" fillId="0" borderId="11" xfId="0" applyFont="1" applyFill="1" applyBorder="1"/>
    <xf numFmtId="0" fontId="13" fillId="0" borderId="3" xfId="0" applyFont="1" applyFill="1" applyBorder="1" applyAlignment="1">
      <alignment vertical="center"/>
    </xf>
    <xf numFmtId="0" fontId="5" fillId="0" borderId="4" xfId="0" applyFont="1" applyFill="1" applyBorder="1"/>
    <xf numFmtId="0" fontId="5" fillId="0" borderId="1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4" xfId="0" applyFont="1" applyFill="1" applyBorder="1"/>
    <xf numFmtId="0" fontId="0" fillId="0" borderId="15" xfId="0" applyFill="1" applyBorder="1"/>
    <xf numFmtId="14" fontId="5" fillId="0" borderId="16" xfId="0" applyNumberFormat="1" applyFont="1" applyFill="1" applyBorder="1" applyAlignment="1">
      <alignment horizontal="center"/>
    </xf>
    <xf numFmtId="0" fontId="5" fillId="0" borderId="16" xfId="0" applyFont="1" applyFill="1" applyBorder="1"/>
    <xf numFmtId="0" fontId="5" fillId="0" borderId="16" xfId="0" applyFont="1" applyFill="1" applyBorder="1" applyAlignment="1">
      <alignment horizontal="center"/>
    </xf>
    <xf numFmtId="0" fontId="0" fillId="0" borderId="16" xfId="0" applyFill="1" applyBorder="1"/>
    <xf numFmtId="0" fontId="5" fillId="0" borderId="11" xfId="0" applyFont="1" applyFill="1" applyBorder="1"/>
    <xf numFmtId="4" fontId="5" fillId="0" borderId="15" xfId="0" applyNumberFormat="1" applyFont="1" applyFill="1" applyBorder="1"/>
    <xf numFmtId="4" fontId="5" fillId="0" borderId="14" xfId="0" applyNumberFormat="1" applyFont="1" applyFill="1" applyBorder="1"/>
    <xf numFmtId="0" fontId="0" fillId="0" borderId="14" xfId="0" applyFill="1" applyBorder="1"/>
    <xf numFmtId="4" fontId="5" fillId="0" borderId="0" xfId="0" applyNumberFormat="1" applyFont="1" applyFill="1" applyBorder="1"/>
    <xf numFmtId="4" fontId="5" fillId="0" borderId="16" xfId="0" applyNumberFormat="1" applyFont="1" applyFill="1" applyBorder="1"/>
    <xf numFmtId="4" fontId="5" fillId="0" borderId="1" xfId="0" applyNumberFormat="1" applyFont="1" applyFill="1" applyBorder="1"/>
    <xf numFmtId="4" fontId="5" fillId="0" borderId="0" xfId="0" applyNumberFormat="1" applyFont="1" applyFill="1"/>
    <xf numFmtId="0" fontId="5" fillId="0" borderId="7" xfId="0" applyFont="1" applyFill="1" applyBorder="1"/>
    <xf numFmtId="0" fontId="5" fillId="0" borderId="12" xfId="0" applyFont="1" applyFill="1" applyBorder="1"/>
    <xf numFmtId="0" fontId="5" fillId="0" borderId="9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4" fontId="8" fillId="0" borderId="16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4" fontId="5" fillId="0" borderId="11" xfId="0" applyNumberFormat="1" applyFont="1" applyFill="1" applyBorder="1"/>
    <xf numFmtId="0" fontId="5" fillId="0" borderId="10" xfId="0" applyFont="1" applyFill="1" applyBorder="1"/>
    <xf numFmtId="4" fontId="5" fillId="0" borderId="10" xfId="0" applyNumberFormat="1" applyFont="1" applyFill="1" applyBorder="1"/>
    <xf numFmtId="0" fontId="13" fillId="0" borderId="10" xfId="0" applyFont="1" applyFill="1" applyBorder="1" applyAlignment="1">
      <alignment vertical="center"/>
    </xf>
    <xf numFmtId="0" fontId="5" fillId="0" borderId="9" xfId="0" applyFont="1" applyFill="1" applyBorder="1"/>
    <xf numFmtId="0" fontId="5" fillId="0" borderId="15" xfId="0" applyFont="1" applyFill="1" applyBorder="1" applyAlignment="1">
      <alignment horizontal="center"/>
    </xf>
    <xf numFmtId="0" fontId="5" fillId="0" borderId="15" xfId="0" applyFont="1" applyFill="1" applyBorder="1"/>
    <xf numFmtId="0" fontId="5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wrapText="1"/>
    </xf>
    <xf numFmtId="4" fontId="5" fillId="0" borderId="14" xfId="0" applyNumberFormat="1" applyFont="1" applyFill="1" applyBorder="1" applyAlignment="1">
      <alignment horizontal="right"/>
    </xf>
    <xf numFmtId="4" fontId="0" fillId="0" borderId="0" xfId="0" applyNumberFormat="1" applyFill="1" applyBorder="1" applyAlignment="1" applyProtection="1">
      <alignment horizontal="right" vertical="top"/>
      <protection locked="0"/>
    </xf>
    <xf numFmtId="14" fontId="11" fillId="0" borderId="0" xfId="0" applyNumberFormat="1" applyFont="1" applyFill="1" applyBorder="1" applyAlignment="1">
      <alignment horizontal="center"/>
    </xf>
    <xf numFmtId="0" fontId="0" fillId="0" borderId="10" xfId="0" applyFill="1" applyBorder="1"/>
    <xf numFmtId="0" fontId="0" fillId="0" borderId="1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9" xfId="0" applyFill="1" applyBorder="1"/>
    <xf numFmtId="0" fontId="7" fillId="0" borderId="0" xfId="0" applyFont="1" applyFill="1" applyBorder="1" applyAlignment="1">
      <alignment horizontal="right"/>
    </xf>
    <xf numFmtId="0" fontId="0" fillId="0" borderId="1" xfId="0" applyBorder="1"/>
    <xf numFmtId="0" fontId="9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4" fontId="16" fillId="0" borderId="16" xfId="0" applyNumberFormat="1" applyFont="1" applyFill="1" applyBorder="1"/>
    <xf numFmtId="4" fontId="16" fillId="0" borderId="8" xfId="0" applyNumberFormat="1" applyFont="1" applyFill="1" applyBorder="1"/>
    <xf numFmtId="4" fontId="16" fillId="0" borderId="16" xfId="0" applyNumberFormat="1" applyFont="1" applyFill="1" applyBorder="1" applyAlignment="1" applyProtection="1">
      <alignment horizontal="right" vertical="top"/>
      <protection locked="0"/>
    </xf>
    <xf numFmtId="4" fontId="16" fillId="0" borderId="10" xfId="0" applyNumberFormat="1" applyFont="1" applyFill="1" applyBorder="1"/>
    <xf numFmtId="4" fontId="16" fillId="0" borderId="3" xfId="0" applyNumberFormat="1" applyFont="1" applyFill="1" applyBorder="1"/>
    <xf numFmtId="4" fontId="16" fillId="0" borderId="10" xfId="0" applyNumberFormat="1" applyFont="1" applyFill="1" applyBorder="1" applyAlignment="1" applyProtection="1">
      <alignment horizontal="right" vertical="top"/>
      <protection locked="0"/>
    </xf>
    <xf numFmtId="164" fontId="19" fillId="0" borderId="10" xfId="0" applyNumberFormat="1" applyFont="1" applyFill="1" applyBorder="1"/>
    <xf numFmtId="4" fontId="16" fillId="0" borderId="17" xfId="0" applyNumberFormat="1" applyFont="1" applyFill="1" applyBorder="1"/>
    <xf numFmtId="15" fontId="0" fillId="0" borderId="0" xfId="0" applyNumberFormat="1" applyFill="1" applyBorder="1"/>
    <xf numFmtId="0" fontId="16" fillId="0" borderId="0" xfId="0" applyFont="1" applyFill="1" applyBorder="1"/>
    <xf numFmtId="4" fontId="16" fillId="0" borderId="0" xfId="0" applyNumberFormat="1" applyFont="1" applyFill="1" applyBorder="1"/>
    <xf numFmtId="4" fontId="16" fillId="0" borderId="1" xfId="0" applyNumberFormat="1" applyFont="1" applyFill="1" applyBorder="1"/>
    <xf numFmtId="4" fontId="16" fillId="0" borderId="0" xfId="0" applyNumberFormat="1" applyFont="1" applyFill="1" applyAlignment="1" applyProtection="1">
      <alignment horizontal="right" vertical="top"/>
      <protection locked="0"/>
    </xf>
    <xf numFmtId="14" fontId="20" fillId="0" borderId="0" xfId="0" applyNumberFormat="1" applyFont="1" applyFill="1"/>
    <xf numFmtId="165" fontId="20" fillId="0" borderId="0" xfId="0" applyNumberFormat="1" applyFont="1" applyFill="1"/>
    <xf numFmtId="0" fontId="16" fillId="0" borderId="0" xfId="0" applyFont="1" applyFill="1"/>
    <xf numFmtId="4" fontId="16" fillId="0" borderId="0" xfId="0" applyNumberFormat="1" applyFont="1" applyFill="1"/>
    <xf numFmtId="4" fontId="16" fillId="0" borderId="0" xfId="0" applyNumberFormat="1" applyFont="1" applyFill="1" applyBorder="1" applyAlignment="1" applyProtection="1">
      <alignment horizontal="right" vertical="top"/>
      <protection locked="0"/>
    </xf>
    <xf numFmtId="4" fontId="16" fillId="0" borderId="1" xfId="0" applyNumberFormat="1" applyFont="1" applyFill="1" applyBorder="1" applyAlignment="1" applyProtection="1">
      <alignment horizontal="right" vertical="top"/>
      <protection locked="0"/>
    </xf>
    <xf numFmtId="0" fontId="16" fillId="0" borderId="1" xfId="0" applyFont="1" applyFill="1" applyBorder="1"/>
    <xf numFmtId="4" fontId="16" fillId="0" borderId="5" xfId="0" applyNumberFormat="1" applyFont="1" applyFill="1" applyBorder="1"/>
    <xf numFmtId="0" fontId="16" fillId="0" borderId="5" xfId="0" applyFont="1" applyFill="1" applyBorder="1"/>
    <xf numFmtId="4" fontId="18" fillId="0" borderId="0" xfId="0" applyNumberFormat="1" applyFont="1"/>
    <xf numFmtId="4" fontId="18" fillId="0" borderId="2" xfId="0" applyNumberFormat="1" applyFont="1" applyBorder="1"/>
    <xf numFmtId="0" fontId="19" fillId="0" borderId="10" xfId="0" applyFont="1" applyBorder="1"/>
    <xf numFmtId="0" fontId="9" fillId="0" borderId="0" xfId="0" applyFont="1" applyFill="1" applyBorder="1" applyAlignment="1"/>
    <xf numFmtId="0" fontId="16" fillId="0" borderId="10" xfId="0" applyFont="1" applyFill="1" applyBorder="1"/>
    <xf numFmtId="0" fontId="9" fillId="0" borderId="10" xfId="0" applyFont="1" applyFill="1" applyBorder="1" applyAlignment="1">
      <alignment horizontal="center"/>
    </xf>
    <xf numFmtId="14" fontId="0" fillId="0" borderId="10" xfId="0" applyNumberFormat="1" applyFill="1" applyBorder="1"/>
    <xf numFmtId="0" fontId="17" fillId="0" borderId="13" xfId="0" applyFont="1" applyFill="1" applyBorder="1" applyAlignment="1"/>
    <xf numFmtId="0" fontId="0" fillId="0" borderId="7" xfId="0" applyBorder="1"/>
    <xf numFmtId="0" fontId="21" fillId="0" borderId="11" xfId="0" applyFont="1" applyFill="1" applyBorder="1" applyAlignment="1"/>
    <xf numFmtId="0" fontId="0" fillId="0" borderId="12" xfId="0" applyBorder="1"/>
    <xf numFmtId="164" fontId="0" fillId="0" borderId="8" xfId="0" applyNumberFormat="1" applyFill="1" applyBorder="1"/>
    <xf numFmtId="14" fontId="11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0" fontId="4" fillId="0" borderId="0" xfId="0" applyFo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4" fontId="16" fillId="0" borderId="2" xfId="0" applyNumberFormat="1" applyFont="1" applyFill="1" applyBorder="1"/>
    <xf numFmtId="0" fontId="8" fillId="0" borderId="10" xfId="0" applyFont="1" applyFill="1" applyBorder="1"/>
    <xf numFmtId="0" fontId="22" fillId="0" borderId="10" xfId="0" applyFont="1" applyFill="1" applyBorder="1" applyAlignment="1">
      <alignment horizontal="center"/>
    </xf>
    <xf numFmtId="0" fontId="23" fillId="0" borderId="10" xfId="0" applyFont="1" applyFill="1" applyBorder="1" applyAlignment="1">
      <alignment horizontal="center"/>
    </xf>
    <xf numFmtId="0" fontId="7" fillId="0" borderId="0" xfId="0" applyFont="1"/>
    <xf numFmtId="0" fontId="0" fillId="0" borderId="6" xfId="0" applyFill="1" applyBorder="1"/>
    <xf numFmtId="4" fontId="16" fillId="0" borderId="2" xfId="0" applyNumberFormat="1" applyFont="1" applyFill="1" applyBorder="1" applyAlignment="1" applyProtection="1">
      <alignment horizontal="right" vertical="top"/>
      <protection locked="0"/>
    </xf>
    <xf numFmtId="15" fontId="16" fillId="0" borderId="0" xfId="0" applyNumberFormat="1" applyFont="1"/>
    <xf numFmtId="0" fontId="16" fillId="0" borderId="0" xfId="0" applyFont="1"/>
    <xf numFmtId="14" fontId="16" fillId="0" borderId="0" xfId="0" applyNumberFormat="1" applyFont="1"/>
    <xf numFmtId="0" fontId="15" fillId="2" borderId="10" xfId="0" applyFont="1" applyFill="1" applyBorder="1" applyAlignment="1">
      <alignment horizontal="center"/>
    </xf>
    <xf numFmtId="4" fontId="16" fillId="2" borderId="17" xfId="0" applyNumberFormat="1" applyFont="1" applyFill="1" applyBorder="1"/>
    <xf numFmtId="0" fontId="23" fillId="2" borderId="3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0" fillId="0" borderId="0" xfId="0" applyBorder="1" applyAlignment="1"/>
    <xf numFmtId="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24" fillId="0" borderId="0" xfId="0" applyFont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6" fillId="0" borderId="10" xfId="0" applyFont="1" applyBorder="1"/>
    <xf numFmtId="0" fontId="1" fillId="0" borderId="0" xfId="0" applyFont="1" applyFill="1" applyBorder="1" applyAlignment="1">
      <alignment horizontal="center" wrapText="1"/>
    </xf>
    <xf numFmtId="9" fontId="16" fillId="0" borderId="10" xfId="0" applyNumberFormat="1" applyFont="1" applyBorder="1" applyAlignment="1">
      <alignment horizontal="center"/>
    </xf>
    <xf numFmtId="0" fontId="11" fillId="0" borderId="0" xfId="0" applyFont="1" applyFill="1" applyBorder="1"/>
    <xf numFmtId="0" fontId="8" fillId="0" borderId="0" xfId="0" applyFont="1" applyFill="1" applyBorder="1"/>
    <xf numFmtId="4" fontId="25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" fontId="16" fillId="0" borderId="21" xfId="0" applyNumberFormat="1" applyFont="1" applyFill="1" applyBorder="1"/>
    <xf numFmtId="0" fontId="16" fillId="0" borderId="21" xfId="0" applyFont="1" applyFill="1" applyBorder="1"/>
    <xf numFmtId="4" fontId="16" fillId="0" borderId="21" xfId="0" applyNumberFormat="1" applyFont="1" applyFill="1" applyBorder="1" applyAlignment="1" applyProtection="1">
      <alignment horizontal="right" vertical="top"/>
      <protection locked="0"/>
    </xf>
    <xf numFmtId="4" fontId="18" fillId="2" borderId="2" xfId="0" applyNumberFormat="1" applyFont="1" applyFill="1" applyBorder="1"/>
    <xf numFmtId="4" fontId="18" fillId="0" borderId="2" xfId="0" applyNumberFormat="1" applyFont="1" applyFill="1" applyBorder="1"/>
    <xf numFmtId="0" fontId="26" fillId="0" borderId="0" xfId="0" applyFont="1"/>
    <xf numFmtId="0" fontId="27" fillId="0" borderId="0" xfId="0" applyFont="1" applyFill="1"/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4" fontId="27" fillId="0" borderId="0" xfId="0" applyNumberFormat="1" applyFont="1" applyFill="1" applyAlignment="1" applyProtection="1">
      <alignment horizontal="right" vertical="top"/>
      <protection locked="0"/>
    </xf>
    <xf numFmtId="0" fontId="27" fillId="0" borderId="0" xfId="0" applyFont="1" applyFill="1" applyBorder="1"/>
    <xf numFmtId="14" fontId="27" fillId="0" borderId="0" xfId="0" applyNumberFormat="1" applyFont="1" applyFill="1"/>
    <xf numFmtId="4" fontId="27" fillId="0" borderId="0" xfId="0" applyNumberFormat="1" applyFont="1" applyFill="1" applyBorder="1" applyAlignment="1" applyProtection="1">
      <alignment horizontal="right" vertical="top"/>
      <protection locked="0"/>
    </xf>
    <xf numFmtId="4" fontId="27" fillId="0" borderId="1" xfId="0" applyNumberFormat="1" applyFont="1" applyFill="1" applyBorder="1" applyAlignment="1" applyProtection="1">
      <alignment horizontal="right" vertical="top"/>
      <protection locked="0"/>
    </xf>
    <xf numFmtId="0" fontId="27" fillId="0" borderId="0" xfId="0" applyFont="1"/>
    <xf numFmtId="4" fontId="27" fillId="0" borderId="1" xfId="0" applyNumberFormat="1" applyFont="1" applyBorder="1"/>
    <xf numFmtId="0" fontId="15" fillId="0" borderId="4" xfId="0" applyFont="1" applyFill="1" applyBorder="1" applyAlignment="1">
      <alignment horizontal="center"/>
    </xf>
    <xf numFmtId="4" fontId="16" fillId="0" borderId="9" xfId="0" applyNumberFormat="1" applyFont="1" applyFill="1" applyBorder="1" applyAlignment="1" applyProtection="1">
      <alignment horizontal="right" vertical="top"/>
      <protection locked="0"/>
    </xf>
    <xf numFmtId="4" fontId="16" fillId="0" borderId="4" xfId="0" applyNumberFormat="1" applyFont="1" applyFill="1" applyBorder="1" applyAlignment="1" applyProtection="1">
      <alignment horizontal="right" vertical="top"/>
      <protection locked="0"/>
    </xf>
    <xf numFmtId="4" fontId="16" fillId="0" borderId="22" xfId="0" applyNumberFormat="1" applyFont="1" applyFill="1" applyBorder="1"/>
    <xf numFmtId="14" fontId="11" fillId="0" borderId="12" xfId="0" applyNumberFormat="1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5"/>
  <sheetViews>
    <sheetView tabSelected="1" workbookViewId="0">
      <selection activeCell="N6" sqref="N6"/>
    </sheetView>
  </sheetViews>
  <sheetFormatPr baseColWidth="10" defaultColWidth="13" defaultRowHeight="15"/>
  <cols>
    <col min="1" max="1" width="32.85546875" style="2" customWidth="1"/>
    <col min="2" max="2" width="13" style="2"/>
    <col min="3" max="3" width="1.85546875" style="2" customWidth="1"/>
    <col min="4" max="4" width="13" style="2"/>
    <col min="5" max="5" width="1.140625" style="2" customWidth="1"/>
    <col min="6" max="6" width="13" style="2"/>
    <col min="7" max="7" width="1.140625" style="2" customWidth="1"/>
    <col min="8" max="8" width="13" style="2"/>
    <col min="9" max="9" width="1" style="2" customWidth="1"/>
    <col min="10" max="10" width="11.7109375" style="2" customWidth="1"/>
    <col min="11" max="11" width="1.5703125" style="2" customWidth="1"/>
    <col min="12" max="12" width="13" style="2"/>
    <col min="13" max="13" width="1.7109375" style="2" customWidth="1"/>
    <col min="14" max="256" width="13" style="2"/>
    <col min="257" max="257" width="32.85546875" style="2" customWidth="1"/>
    <col min="258" max="258" width="13" style="2"/>
    <col min="259" max="259" width="1.28515625" style="2" customWidth="1"/>
    <col min="260" max="260" width="13" style="2"/>
    <col min="261" max="261" width="1.140625" style="2" customWidth="1"/>
    <col min="262" max="262" width="13" style="2"/>
    <col min="263" max="263" width="1.140625" style="2" customWidth="1"/>
    <col min="264" max="264" width="13" style="2"/>
    <col min="265" max="265" width="1" style="2" customWidth="1"/>
    <col min="266" max="266" width="13" style="2"/>
    <col min="267" max="267" width="1.5703125" style="2" customWidth="1"/>
    <col min="268" max="268" width="13" style="2"/>
    <col min="269" max="269" width="15.5703125" style="2" customWidth="1"/>
    <col min="270" max="512" width="13" style="2"/>
    <col min="513" max="513" width="32.85546875" style="2" customWidth="1"/>
    <col min="514" max="514" width="13" style="2"/>
    <col min="515" max="515" width="1.28515625" style="2" customWidth="1"/>
    <col min="516" max="516" width="13" style="2"/>
    <col min="517" max="517" width="1.140625" style="2" customWidth="1"/>
    <col min="518" max="518" width="13" style="2"/>
    <col min="519" max="519" width="1.140625" style="2" customWidth="1"/>
    <col min="520" max="520" width="13" style="2"/>
    <col min="521" max="521" width="1" style="2" customWidth="1"/>
    <col min="522" max="522" width="13" style="2"/>
    <col min="523" max="523" width="1.5703125" style="2" customWidth="1"/>
    <col min="524" max="524" width="13" style="2"/>
    <col min="525" max="525" width="15.5703125" style="2" customWidth="1"/>
    <col min="526" max="768" width="13" style="2"/>
    <col min="769" max="769" width="32.85546875" style="2" customWidth="1"/>
    <col min="770" max="770" width="13" style="2"/>
    <col min="771" max="771" width="1.28515625" style="2" customWidth="1"/>
    <col min="772" max="772" width="13" style="2"/>
    <col min="773" max="773" width="1.140625" style="2" customWidth="1"/>
    <col min="774" max="774" width="13" style="2"/>
    <col min="775" max="775" width="1.140625" style="2" customWidth="1"/>
    <col min="776" max="776" width="13" style="2"/>
    <col min="777" max="777" width="1" style="2" customWidth="1"/>
    <col min="778" max="778" width="13" style="2"/>
    <col min="779" max="779" width="1.5703125" style="2" customWidth="1"/>
    <col min="780" max="780" width="13" style="2"/>
    <col min="781" max="781" width="15.5703125" style="2" customWidth="1"/>
    <col min="782" max="1024" width="13" style="2"/>
    <col min="1025" max="1025" width="32.85546875" style="2" customWidth="1"/>
    <col min="1026" max="1026" width="13" style="2"/>
    <col min="1027" max="1027" width="1.28515625" style="2" customWidth="1"/>
    <col min="1028" max="1028" width="13" style="2"/>
    <col min="1029" max="1029" width="1.140625" style="2" customWidth="1"/>
    <col min="1030" max="1030" width="13" style="2"/>
    <col min="1031" max="1031" width="1.140625" style="2" customWidth="1"/>
    <col min="1032" max="1032" width="13" style="2"/>
    <col min="1033" max="1033" width="1" style="2" customWidth="1"/>
    <col min="1034" max="1034" width="13" style="2"/>
    <col min="1035" max="1035" width="1.5703125" style="2" customWidth="1"/>
    <col min="1036" max="1036" width="13" style="2"/>
    <col min="1037" max="1037" width="15.5703125" style="2" customWidth="1"/>
    <col min="1038" max="1280" width="13" style="2"/>
    <col min="1281" max="1281" width="32.85546875" style="2" customWidth="1"/>
    <col min="1282" max="1282" width="13" style="2"/>
    <col min="1283" max="1283" width="1.28515625" style="2" customWidth="1"/>
    <col min="1284" max="1284" width="13" style="2"/>
    <col min="1285" max="1285" width="1.140625" style="2" customWidth="1"/>
    <col min="1286" max="1286" width="13" style="2"/>
    <col min="1287" max="1287" width="1.140625" style="2" customWidth="1"/>
    <col min="1288" max="1288" width="13" style="2"/>
    <col min="1289" max="1289" width="1" style="2" customWidth="1"/>
    <col min="1290" max="1290" width="13" style="2"/>
    <col min="1291" max="1291" width="1.5703125" style="2" customWidth="1"/>
    <col min="1292" max="1292" width="13" style="2"/>
    <col min="1293" max="1293" width="15.5703125" style="2" customWidth="1"/>
    <col min="1294" max="1536" width="13" style="2"/>
    <col min="1537" max="1537" width="32.85546875" style="2" customWidth="1"/>
    <col min="1538" max="1538" width="13" style="2"/>
    <col min="1539" max="1539" width="1.28515625" style="2" customWidth="1"/>
    <col min="1540" max="1540" width="13" style="2"/>
    <col min="1541" max="1541" width="1.140625" style="2" customWidth="1"/>
    <col min="1542" max="1542" width="13" style="2"/>
    <col min="1543" max="1543" width="1.140625" style="2" customWidth="1"/>
    <col min="1544" max="1544" width="13" style="2"/>
    <col min="1545" max="1545" width="1" style="2" customWidth="1"/>
    <col min="1546" max="1546" width="13" style="2"/>
    <col min="1547" max="1547" width="1.5703125" style="2" customWidth="1"/>
    <col min="1548" max="1548" width="13" style="2"/>
    <col min="1549" max="1549" width="15.5703125" style="2" customWidth="1"/>
    <col min="1550" max="1792" width="13" style="2"/>
    <col min="1793" max="1793" width="32.85546875" style="2" customWidth="1"/>
    <col min="1794" max="1794" width="13" style="2"/>
    <col min="1795" max="1795" width="1.28515625" style="2" customWidth="1"/>
    <col min="1796" max="1796" width="13" style="2"/>
    <col min="1797" max="1797" width="1.140625" style="2" customWidth="1"/>
    <col min="1798" max="1798" width="13" style="2"/>
    <col min="1799" max="1799" width="1.140625" style="2" customWidth="1"/>
    <col min="1800" max="1800" width="13" style="2"/>
    <col min="1801" max="1801" width="1" style="2" customWidth="1"/>
    <col min="1802" max="1802" width="13" style="2"/>
    <col min="1803" max="1803" width="1.5703125" style="2" customWidth="1"/>
    <col min="1804" max="1804" width="13" style="2"/>
    <col min="1805" max="1805" width="15.5703125" style="2" customWidth="1"/>
    <col min="1806" max="2048" width="13" style="2"/>
    <col min="2049" max="2049" width="32.85546875" style="2" customWidth="1"/>
    <col min="2050" max="2050" width="13" style="2"/>
    <col min="2051" max="2051" width="1.28515625" style="2" customWidth="1"/>
    <col min="2052" max="2052" width="13" style="2"/>
    <col min="2053" max="2053" width="1.140625" style="2" customWidth="1"/>
    <col min="2054" max="2054" width="13" style="2"/>
    <col min="2055" max="2055" width="1.140625" style="2" customWidth="1"/>
    <col min="2056" max="2056" width="13" style="2"/>
    <col min="2057" max="2057" width="1" style="2" customWidth="1"/>
    <col min="2058" max="2058" width="13" style="2"/>
    <col min="2059" max="2059" width="1.5703125" style="2" customWidth="1"/>
    <col min="2060" max="2060" width="13" style="2"/>
    <col min="2061" max="2061" width="15.5703125" style="2" customWidth="1"/>
    <col min="2062" max="2304" width="13" style="2"/>
    <col min="2305" max="2305" width="32.85546875" style="2" customWidth="1"/>
    <col min="2306" max="2306" width="13" style="2"/>
    <col min="2307" max="2307" width="1.28515625" style="2" customWidth="1"/>
    <col min="2308" max="2308" width="13" style="2"/>
    <col min="2309" max="2309" width="1.140625" style="2" customWidth="1"/>
    <col min="2310" max="2310" width="13" style="2"/>
    <col min="2311" max="2311" width="1.140625" style="2" customWidth="1"/>
    <col min="2312" max="2312" width="13" style="2"/>
    <col min="2313" max="2313" width="1" style="2" customWidth="1"/>
    <col min="2314" max="2314" width="13" style="2"/>
    <col min="2315" max="2315" width="1.5703125" style="2" customWidth="1"/>
    <col min="2316" max="2316" width="13" style="2"/>
    <col min="2317" max="2317" width="15.5703125" style="2" customWidth="1"/>
    <col min="2318" max="2560" width="13" style="2"/>
    <col min="2561" max="2561" width="32.85546875" style="2" customWidth="1"/>
    <col min="2562" max="2562" width="13" style="2"/>
    <col min="2563" max="2563" width="1.28515625" style="2" customWidth="1"/>
    <col min="2564" max="2564" width="13" style="2"/>
    <col min="2565" max="2565" width="1.140625" style="2" customWidth="1"/>
    <col min="2566" max="2566" width="13" style="2"/>
    <col min="2567" max="2567" width="1.140625" style="2" customWidth="1"/>
    <col min="2568" max="2568" width="13" style="2"/>
    <col min="2569" max="2569" width="1" style="2" customWidth="1"/>
    <col min="2570" max="2570" width="13" style="2"/>
    <col min="2571" max="2571" width="1.5703125" style="2" customWidth="1"/>
    <col min="2572" max="2572" width="13" style="2"/>
    <col min="2573" max="2573" width="15.5703125" style="2" customWidth="1"/>
    <col min="2574" max="2816" width="13" style="2"/>
    <col min="2817" max="2817" width="32.85546875" style="2" customWidth="1"/>
    <col min="2818" max="2818" width="13" style="2"/>
    <col min="2819" max="2819" width="1.28515625" style="2" customWidth="1"/>
    <col min="2820" max="2820" width="13" style="2"/>
    <col min="2821" max="2821" width="1.140625" style="2" customWidth="1"/>
    <col min="2822" max="2822" width="13" style="2"/>
    <col min="2823" max="2823" width="1.140625" style="2" customWidth="1"/>
    <col min="2824" max="2824" width="13" style="2"/>
    <col min="2825" max="2825" width="1" style="2" customWidth="1"/>
    <col min="2826" max="2826" width="13" style="2"/>
    <col min="2827" max="2827" width="1.5703125" style="2" customWidth="1"/>
    <col min="2828" max="2828" width="13" style="2"/>
    <col min="2829" max="2829" width="15.5703125" style="2" customWidth="1"/>
    <col min="2830" max="3072" width="13" style="2"/>
    <col min="3073" max="3073" width="32.85546875" style="2" customWidth="1"/>
    <col min="3074" max="3074" width="13" style="2"/>
    <col min="3075" max="3075" width="1.28515625" style="2" customWidth="1"/>
    <col min="3076" max="3076" width="13" style="2"/>
    <col min="3077" max="3077" width="1.140625" style="2" customWidth="1"/>
    <col min="3078" max="3078" width="13" style="2"/>
    <col min="3079" max="3079" width="1.140625" style="2" customWidth="1"/>
    <col min="3080" max="3080" width="13" style="2"/>
    <col min="3081" max="3081" width="1" style="2" customWidth="1"/>
    <col min="3082" max="3082" width="13" style="2"/>
    <col min="3083" max="3083" width="1.5703125" style="2" customWidth="1"/>
    <col min="3084" max="3084" width="13" style="2"/>
    <col min="3085" max="3085" width="15.5703125" style="2" customWidth="1"/>
    <col min="3086" max="3328" width="13" style="2"/>
    <col min="3329" max="3329" width="32.85546875" style="2" customWidth="1"/>
    <col min="3330" max="3330" width="13" style="2"/>
    <col min="3331" max="3331" width="1.28515625" style="2" customWidth="1"/>
    <col min="3332" max="3332" width="13" style="2"/>
    <col min="3333" max="3333" width="1.140625" style="2" customWidth="1"/>
    <col min="3334" max="3334" width="13" style="2"/>
    <col min="3335" max="3335" width="1.140625" style="2" customWidth="1"/>
    <col min="3336" max="3336" width="13" style="2"/>
    <col min="3337" max="3337" width="1" style="2" customWidth="1"/>
    <col min="3338" max="3338" width="13" style="2"/>
    <col min="3339" max="3339" width="1.5703125" style="2" customWidth="1"/>
    <col min="3340" max="3340" width="13" style="2"/>
    <col min="3341" max="3341" width="15.5703125" style="2" customWidth="1"/>
    <col min="3342" max="3584" width="13" style="2"/>
    <col min="3585" max="3585" width="32.85546875" style="2" customWidth="1"/>
    <col min="3586" max="3586" width="13" style="2"/>
    <col min="3587" max="3587" width="1.28515625" style="2" customWidth="1"/>
    <col min="3588" max="3588" width="13" style="2"/>
    <col min="3589" max="3589" width="1.140625" style="2" customWidth="1"/>
    <col min="3590" max="3590" width="13" style="2"/>
    <col min="3591" max="3591" width="1.140625" style="2" customWidth="1"/>
    <col min="3592" max="3592" width="13" style="2"/>
    <col min="3593" max="3593" width="1" style="2" customWidth="1"/>
    <col min="3594" max="3594" width="13" style="2"/>
    <col min="3595" max="3595" width="1.5703125" style="2" customWidth="1"/>
    <col min="3596" max="3596" width="13" style="2"/>
    <col min="3597" max="3597" width="15.5703125" style="2" customWidth="1"/>
    <col min="3598" max="3840" width="13" style="2"/>
    <col min="3841" max="3841" width="32.85546875" style="2" customWidth="1"/>
    <col min="3842" max="3842" width="13" style="2"/>
    <col min="3843" max="3843" width="1.28515625" style="2" customWidth="1"/>
    <col min="3844" max="3844" width="13" style="2"/>
    <col min="3845" max="3845" width="1.140625" style="2" customWidth="1"/>
    <col min="3846" max="3846" width="13" style="2"/>
    <col min="3847" max="3847" width="1.140625" style="2" customWidth="1"/>
    <col min="3848" max="3848" width="13" style="2"/>
    <col min="3849" max="3849" width="1" style="2" customWidth="1"/>
    <col min="3850" max="3850" width="13" style="2"/>
    <col min="3851" max="3851" width="1.5703125" style="2" customWidth="1"/>
    <col min="3852" max="3852" width="13" style="2"/>
    <col min="3853" max="3853" width="15.5703125" style="2" customWidth="1"/>
    <col min="3854" max="4096" width="13" style="2"/>
    <col min="4097" max="4097" width="32.85546875" style="2" customWidth="1"/>
    <col min="4098" max="4098" width="13" style="2"/>
    <col min="4099" max="4099" width="1.28515625" style="2" customWidth="1"/>
    <col min="4100" max="4100" width="13" style="2"/>
    <col min="4101" max="4101" width="1.140625" style="2" customWidth="1"/>
    <col min="4102" max="4102" width="13" style="2"/>
    <col min="4103" max="4103" width="1.140625" style="2" customWidth="1"/>
    <col min="4104" max="4104" width="13" style="2"/>
    <col min="4105" max="4105" width="1" style="2" customWidth="1"/>
    <col min="4106" max="4106" width="13" style="2"/>
    <col min="4107" max="4107" width="1.5703125" style="2" customWidth="1"/>
    <col min="4108" max="4108" width="13" style="2"/>
    <col min="4109" max="4109" width="15.5703125" style="2" customWidth="1"/>
    <col min="4110" max="4352" width="13" style="2"/>
    <col min="4353" max="4353" width="32.85546875" style="2" customWidth="1"/>
    <col min="4354" max="4354" width="13" style="2"/>
    <col min="4355" max="4355" width="1.28515625" style="2" customWidth="1"/>
    <col min="4356" max="4356" width="13" style="2"/>
    <col min="4357" max="4357" width="1.140625" style="2" customWidth="1"/>
    <col min="4358" max="4358" width="13" style="2"/>
    <col min="4359" max="4359" width="1.140625" style="2" customWidth="1"/>
    <col min="4360" max="4360" width="13" style="2"/>
    <col min="4361" max="4361" width="1" style="2" customWidth="1"/>
    <col min="4362" max="4362" width="13" style="2"/>
    <col min="4363" max="4363" width="1.5703125" style="2" customWidth="1"/>
    <col min="4364" max="4364" width="13" style="2"/>
    <col min="4365" max="4365" width="15.5703125" style="2" customWidth="1"/>
    <col min="4366" max="4608" width="13" style="2"/>
    <col min="4609" max="4609" width="32.85546875" style="2" customWidth="1"/>
    <col min="4610" max="4610" width="13" style="2"/>
    <col min="4611" max="4611" width="1.28515625" style="2" customWidth="1"/>
    <col min="4612" max="4612" width="13" style="2"/>
    <col min="4613" max="4613" width="1.140625" style="2" customWidth="1"/>
    <col min="4614" max="4614" width="13" style="2"/>
    <col min="4615" max="4615" width="1.140625" style="2" customWidth="1"/>
    <col min="4616" max="4616" width="13" style="2"/>
    <col min="4617" max="4617" width="1" style="2" customWidth="1"/>
    <col min="4618" max="4618" width="13" style="2"/>
    <col min="4619" max="4619" width="1.5703125" style="2" customWidth="1"/>
    <col min="4620" max="4620" width="13" style="2"/>
    <col min="4621" max="4621" width="15.5703125" style="2" customWidth="1"/>
    <col min="4622" max="4864" width="13" style="2"/>
    <col min="4865" max="4865" width="32.85546875" style="2" customWidth="1"/>
    <col min="4866" max="4866" width="13" style="2"/>
    <col min="4867" max="4867" width="1.28515625" style="2" customWidth="1"/>
    <col min="4868" max="4868" width="13" style="2"/>
    <col min="4869" max="4869" width="1.140625" style="2" customWidth="1"/>
    <col min="4870" max="4870" width="13" style="2"/>
    <col min="4871" max="4871" width="1.140625" style="2" customWidth="1"/>
    <col min="4872" max="4872" width="13" style="2"/>
    <col min="4873" max="4873" width="1" style="2" customWidth="1"/>
    <col min="4874" max="4874" width="13" style="2"/>
    <col min="4875" max="4875" width="1.5703125" style="2" customWidth="1"/>
    <col min="4876" max="4876" width="13" style="2"/>
    <col min="4877" max="4877" width="15.5703125" style="2" customWidth="1"/>
    <col min="4878" max="5120" width="13" style="2"/>
    <col min="5121" max="5121" width="32.85546875" style="2" customWidth="1"/>
    <col min="5122" max="5122" width="13" style="2"/>
    <col min="5123" max="5123" width="1.28515625" style="2" customWidth="1"/>
    <col min="5124" max="5124" width="13" style="2"/>
    <col min="5125" max="5125" width="1.140625" style="2" customWidth="1"/>
    <col min="5126" max="5126" width="13" style="2"/>
    <col min="5127" max="5127" width="1.140625" style="2" customWidth="1"/>
    <col min="5128" max="5128" width="13" style="2"/>
    <col min="5129" max="5129" width="1" style="2" customWidth="1"/>
    <col min="5130" max="5130" width="13" style="2"/>
    <col min="5131" max="5131" width="1.5703125" style="2" customWidth="1"/>
    <col min="5132" max="5132" width="13" style="2"/>
    <col min="5133" max="5133" width="15.5703125" style="2" customWidth="1"/>
    <col min="5134" max="5376" width="13" style="2"/>
    <col min="5377" max="5377" width="32.85546875" style="2" customWidth="1"/>
    <col min="5378" max="5378" width="13" style="2"/>
    <col min="5379" max="5379" width="1.28515625" style="2" customWidth="1"/>
    <col min="5380" max="5380" width="13" style="2"/>
    <col min="5381" max="5381" width="1.140625" style="2" customWidth="1"/>
    <col min="5382" max="5382" width="13" style="2"/>
    <col min="5383" max="5383" width="1.140625" style="2" customWidth="1"/>
    <col min="5384" max="5384" width="13" style="2"/>
    <col min="5385" max="5385" width="1" style="2" customWidth="1"/>
    <col min="5386" max="5386" width="13" style="2"/>
    <col min="5387" max="5387" width="1.5703125" style="2" customWidth="1"/>
    <col min="5388" max="5388" width="13" style="2"/>
    <col min="5389" max="5389" width="15.5703125" style="2" customWidth="1"/>
    <col min="5390" max="5632" width="13" style="2"/>
    <col min="5633" max="5633" width="32.85546875" style="2" customWidth="1"/>
    <col min="5634" max="5634" width="13" style="2"/>
    <col min="5635" max="5635" width="1.28515625" style="2" customWidth="1"/>
    <col min="5636" max="5636" width="13" style="2"/>
    <col min="5637" max="5637" width="1.140625" style="2" customWidth="1"/>
    <col min="5638" max="5638" width="13" style="2"/>
    <col min="5639" max="5639" width="1.140625" style="2" customWidth="1"/>
    <col min="5640" max="5640" width="13" style="2"/>
    <col min="5641" max="5641" width="1" style="2" customWidth="1"/>
    <col min="5642" max="5642" width="13" style="2"/>
    <col min="5643" max="5643" width="1.5703125" style="2" customWidth="1"/>
    <col min="5644" max="5644" width="13" style="2"/>
    <col min="5645" max="5645" width="15.5703125" style="2" customWidth="1"/>
    <col min="5646" max="5888" width="13" style="2"/>
    <col min="5889" max="5889" width="32.85546875" style="2" customWidth="1"/>
    <col min="5890" max="5890" width="13" style="2"/>
    <col min="5891" max="5891" width="1.28515625" style="2" customWidth="1"/>
    <col min="5892" max="5892" width="13" style="2"/>
    <col min="5893" max="5893" width="1.140625" style="2" customWidth="1"/>
    <col min="5894" max="5894" width="13" style="2"/>
    <col min="5895" max="5895" width="1.140625" style="2" customWidth="1"/>
    <col min="5896" max="5896" width="13" style="2"/>
    <col min="5897" max="5897" width="1" style="2" customWidth="1"/>
    <col min="5898" max="5898" width="13" style="2"/>
    <col min="5899" max="5899" width="1.5703125" style="2" customWidth="1"/>
    <col min="5900" max="5900" width="13" style="2"/>
    <col min="5901" max="5901" width="15.5703125" style="2" customWidth="1"/>
    <col min="5902" max="6144" width="13" style="2"/>
    <col min="6145" max="6145" width="32.85546875" style="2" customWidth="1"/>
    <col min="6146" max="6146" width="13" style="2"/>
    <col min="6147" max="6147" width="1.28515625" style="2" customWidth="1"/>
    <col min="6148" max="6148" width="13" style="2"/>
    <col min="6149" max="6149" width="1.140625" style="2" customWidth="1"/>
    <col min="6150" max="6150" width="13" style="2"/>
    <col min="6151" max="6151" width="1.140625" style="2" customWidth="1"/>
    <col min="6152" max="6152" width="13" style="2"/>
    <col min="6153" max="6153" width="1" style="2" customWidth="1"/>
    <col min="6154" max="6154" width="13" style="2"/>
    <col min="6155" max="6155" width="1.5703125" style="2" customWidth="1"/>
    <col min="6156" max="6156" width="13" style="2"/>
    <col min="6157" max="6157" width="15.5703125" style="2" customWidth="1"/>
    <col min="6158" max="6400" width="13" style="2"/>
    <col min="6401" max="6401" width="32.85546875" style="2" customWidth="1"/>
    <col min="6402" max="6402" width="13" style="2"/>
    <col min="6403" max="6403" width="1.28515625" style="2" customWidth="1"/>
    <col min="6404" max="6404" width="13" style="2"/>
    <col min="6405" max="6405" width="1.140625" style="2" customWidth="1"/>
    <col min="6406" max="6406" width="13" style="2"/>
    <col min="6407" max="6407" width="1.140625" style="2" customWidth="1"/>
    <col min="6408" max="6408" width="13" style="2"/>
    <col min="6409" max="6409" width="1" style="2" customWidth="1"/>
    <col min="6410" max="6410" width="13" style="2"/>
    <col min="6411" max="6411" width="1.5703125" style="2" customWidth="1"/>
    <col min="6412" max="6412" width="13" style="2"/>
    <col min="6413" max="6413" width="15.5703125" style="2" customWidth="1"/>
    <col min="6414" max="6656" width="13" style="2"/>
    <col min="6657" max="6657" width="32.85546875" style="2" customWidth="1"/>
    <col min="6658" max="6658" width="13" style="2"/>
    <col min="6659" max="6659" width="1.28515625" style="2" customWidth="1"/>
    <col min="6660" max="6660" width="13" style="2"/>
    <col min="6661" max="6661" width="1.140625" style="2" customWidth="1"/>
    <col min="6662" max="6662" width="13" style="2"/>
    <col min="6663" max="6663" width="1.140625" style="2" customWidth="1"/>
    <col min="6664" max="6664" width="13" style="2"/>
    <col min="6665" max="6665" width="1" style="2" customWidth="1"/>
    <col min="6666" max="6666" width="13" style="2"/>
    <col min="6667" max="6667" width="1.5703125" style="2" customWidth="1"/>
    <col min="6668" max="6668" width="13" style="2"/>
    <col min="6669" max="6669" width="15.5703125" style="2" customWidth="1"/>
    <col min="6670" max="6912" width="13" style="2"/>
    <col min="6913" max="6913" width="32.85546875" style="2" customWidth="1"/>
    <col min="6914" max="6914" width="13" style="2"/>
    <col min="6915" max="6915" width="1.28515625" style="2" customWidth="1"/>
    <col min="6916" max="6916" width="13" style="2"/>
    <col min="6917" max="6917" width="1.140625" style="2" customWidth="1"/>
    <col min="6918" max="6918" width="13" style="2"/>
    <col min="6919" max="6919" width="1.140625" style="2" customWidth="1"/>
    <col min="6920" max="6920" width="13" style="2"/>
    <col min="6921" max="6921" width="1" style="2" customWidth="1"/>
    <col min="6922" max="6922" width="13" style="2"/>
    <col min="6923" max="6923" width="1.5703125" style="2" customWidth="1"/>
    <col min="6924" max="6924" width="13" style="2"/>
    <col min="6925" max="6925" width="15.5703125" style="2" customWidth="1"/>
    <col min="6926" max="7168" width="13" style="2"/>
    <col min="7169" max="7169" width="32.85546875" style="2" customWidth="1"/>
    <col min="7170" max="7170" width="13" style="2"/>
    <col min="7171" max="7171" width="1.28515625" style="2" customWidth="1"/>
    <col min="7172" max="7172" width="13" style="2"/>
    <col min="7173" max="7173" width="1.140625" style="2" customWidth="1"/>
    <col min="7174" max="7174" width="13" style="2"/>
    <col min="7175" max="7175" width="1.140625" style="2" customWidth="1"/>
    <col min="7176" max="7176" width="13" style="2"/>
    <col min="7177" max="7177" width="1" style="2" customWidth="1"/>
    <col min="7178" max="7178" width="13" style="2"/>
    <col min="7179" max="7179" width="1.5703125" style="2" customWidth="1"/>
    <col min="7180" max="7180" width="13" style="2"/>
    <col min="7181" max="7181" width="15.5703125" style="2" customWidth="1"/>
    <col min="7182" max="7424" width="13" style="2"/>
    <col min="7425" max="7425" width="32.85546875" style="2" customWidth="1"/>
    <col min="7426" max="7426" width="13" style="2"/>
    <col min="7427" max="7427" width="1.28515625" style="2" customWidth="1"/>
    <col min="7428" max="7428" width="13" style="2"/>
    <col min="7429" max="7429" width="1.140625" style="2" customWidth="1"/>
    <col min="7430" max="7430" width="13" style="2"/>
    <col min="7431" max="7431" width="1.140625" style="2" customWidth="1"/>
    <col min="7432" max="7432" width="13" style="2"/>
    <col min="7433" max="7433" width="1" style="2" customWidth="1"/>
    <col min="7434" max="7434" width="13" style="2"/>
    <col min="7435" max="7435" width="1.5703125" style="2" customWidth="1"/>
    <col min="7436" max="7436" width="13" style="2"/>
    <col min="7437" max="7437" width="15.5703125" style="2" customWidth="1"/>
    <col min="7438" max="7680" width="13" style="2"/>
    <col min="7681" max="7681" width="32.85546875" style="2" customWidth="1"/>
    <col min="7682" max="7682" width="13" style="2"/>
    <col min="7683" max="7683" width="1.28515625" style="2" customWidth="1"/>
    <col min="7684" max="7684" width="13" style="2"/>
    <col min="7685" max="7685" width="1.140625" style="2" customWidth="1"/>
    <col min="7686" max="7686" width="13" style="2"/>
    <col min="7687" max="7687" width="1.140625" style="2" customWidth="1"/>
    <col min="7688" max="7688" width="13" style="2"/>
    <col min="7689" max="7689" width="1" style="2" customWidth="1"/>
    <col min="7690" max="7690" width="13" style="2"/>
    <col min="7691" max="7691" width="1.5703125" style="2" customWidth="1"/>
    <col min="7692" max="7692" width="13" style="2"/>
    <col min="7693" max="7693" width="15.5703125" style="2" customWidth="1"/>
    <col min="7694" max="7936" width="13" style="2"/>
    <col min="7937" max="7937" width="32.85546875" style="2" customWidth="1"/>
    <col min="7938" max="7938" width="13" style="2"/>
    <col min="7939" max="7939" width="1.28515625" style="2" customWidth="1"/>
    <col min="7940" max="7940" width="13" style="2"/>
    <col min="7941" max="7941" width="1.140625" style="2" customWidth="1"/>
    <col min="7942" max="7942" width="13" style="2"/>
    <col min="7943" max="7943" width="1.140625" style="2" customWidth="1"/>
    <col min="7944" max="7944" width="13" style="2"/>
    <col min="7945" max="7945" width="1" style="2" customWidth="1"/>
    <col min="7946" max="7946" width="13" style="2"/>
    <col min="7947" max="7947" width="1.5703125" style="2" customWidth="1"/>
    <col min="7948" max="7948" width="13" style="2"/>
    <col min="7949" max="7949" width="15.5703125" style="2" customWidth="1"/>
    <col min="7950" max="8192" width="13" style="2"/>
    <col min="8193" max="8193" width="32.85546875" style="2" customWidth="1"/>
    <col min="8194" max="8194" width="13" style="2"/>
    <col min="8195" max="8195" width="1.28515625" style="2" customWidth="1"/>
    <col min="8196" max="8196" width="13" style="2"/>
    <col min="8197" max="8197" width="1.140625" style="2" customWidth="1"/>
    <col min="8198" max="8198" width="13" style="2"/>
    <col min="8199" max="8199" width="1.140625" style="2" customWidth="1"/>
    <col min="8200" max="8200" width="13" style="2"/>
    <col min="8201" max="8201" width="1" style="2" customWidth="1"/>
    <col min="8202" max="8202" width="13" style="2"/>
    <col min="8203" max="8203" width="1.5703125" style="2" customWidth="1"/>
    <col min="8204" max="8204" width="13" style="2"/>
    <col min="8205" max="8205" width="15.5703125" style="2" customWidth="1"/>
    <col min="8206" max="8448" width="13" style="2"/>
    <col min="8449" max="8449" width="32.85546875" style="2" customWidth="1"/>
    <col min="8450" max="8450" width="13" style="2"/>
    <col min="8451" max="8451" width="1.28515625" style="2" customWidth="1"/>
    <col min="8452" max="8452" width="13" style="2"/>
    <col min="8453" max="8453" width="1.140625" style="2" customWidth="1"/>
    <col min="8454" max="8454" width="13" style="2"/>
    <col min="8455" max="8455" width="1.140625" style="2" customWidth="1"/>
    <col min="8456" max="8456" width="13" style="2"/>
    <col min="8457" max="8457" width="1" style="2" customWidth="1"/>
    <col min="8458" max="8458" width="13" style="2"/>
    <col min="8459" max="8459" width="1.5703125" style="2" customWidth="1"/>
    <col min="8460" max="8460" width="13" style="2"/>
    <col min="8461" max="8461" width="15.5703125" style="2" customWidth="1"/>
    <col min="8462" max="8704" width="13" style="2"/>
    <col min="8705" max="8705" width="32.85546875" style="2" customWidth="1"/>
    <col min="8706" max="8706" width="13" style="2"/>
    <col min="8707" max="8707" width="1.28515625" style="2" customWidth="1"/>
    <col min="8708" max="8708" width="13" style="2"/>
    <col min="8709" max="8709" width="1.140625" style="2" customWidth="1"/>
    <col min="8710" max="8710" width="13" style="2"/>
    <col min="8711" max="8711" width="1.140625" style="2" customWidth="1"/>
    <col min="8712" max="8712" width="13" style="2"/>
    <col min="8713" max="8713" width="1" style="2" customWidth="1"/>
    <col min="8714" max="8714" width="13" style="2"/>
    <col min="8715" max="8715" width="1.5703125" style="2" customWidth="1"/>
    <col min="8716" max="8716" width="13" style="2"/>
    <col min="8717" max="8717" width="15.5703125" style="2" customWidth="1"/>
    <col min="8718" max="8960" width="13" style="2"/>
    <col min="8961" max="8961" width="32.85546875" style="2" customWidth="1"/>
    <col min="8962" max="8962" width="13" style="2"/>
    <col min="8963" max="8963" width="1.28515625" style="2" customWidth="1"/>
    <col min="8964" max="8964" width="13" style="2"/>
    <col min="8965" max="8965" width="1.140625" style="2" customWidth="1"/>
    <col min="8966" max="8966" width="13" style="2"/>
    <col min="8967" max="8967" width="1.140625" style="2" customWidth="1"/>
    <col min="8968" max="8968" width="13" style="2"/>
    <col min="8969" max="8969" width="1" style="2" customWidth="1"/>
    <col min="8970" max="8970" width="13" style="2"/>
    <col min="8971" max="8971" width="1.5703125" style="2" customWidth="1"/>
    <col min="8972" max="8972" width="13" style="2"/>
    <col min="8973" max="8973" width="15.5703125" style="2" customWidth="1"/>
    <col min="8974" max="9216" width="13" style="2"/>
    <col min="9217" max="9217" width="32.85546875" style="2" customWidth="1"/>
    <col min="9218" max="9218" width="13" style="2"/>
    <col min="9219" max="9219" width="1.28515625" style="2" customWidth="1"/>
    <col min="9220" max="9220" width="13" style="2"/>
    <col min="9221" max="9221" width="1.140625" style="2" customWidth="1"/>
    <col min="9222" max="9222" width="13" style="2"/>
    <col min="9223" max="9223" width="1.140625" style="2" customWidth="1"/>
    <col min="9224" max="9224" width="13" style="2"/>
    <col min="9225" max="9225" width="1" style="2" customWidth="1"/>
    <col min="9226" max="9226" width="13" style="2"/>
    <col min="9227" max="9227" width="1.5703125" style="2" customWidth="1"/>
    <col min="9228" max="9228" width="13" style="2"/>
    <col min="9229" max="9229" width="15.5703125" style="2" customWidth="1"/>
    <col min="9230" max="9472" width="13" style="2"/>
    <col min="9473" max="9473" width="32.85546875" style="2" customWidth="1"/>
    <col min="9474" max="9474" width="13" style="2"/>
    <col min="9475" max="9475" width="1.28515625" style="2" customWidth="1"/>
    <col min="9476" max="9476" width="13" style="2"/>
    <col min="9477" max="9477" width="1.140625" style="2" customWidth="1"/>
    <col min="9478" max="9478" width="13" style="2"/>
    <col min="9479" max="9479" width="1.140625" style="2" customWidth="1"/>
    <col min="9480" max="9480" width="13" style="2"/>
    <col min="9481" max="9481" width="1" style="2" customWidth="1"/>
    <col min="9482" max="9482" width="13" style="2"/>
    <col min="9483" max="9483" width="1.5703125" style="2" customWidth="1"/>
    <col min="9484" max="9484" width="13" style="2"/>
    <col min="9485" max="9485" width="15.5703125" style="2" customWidth="1"/>
    <col min="9486" max="9728" width="13" style="2"/>
    <col min="9729" max="9729" width="32.85546875" style="2" customWidth="1"/>
    <col min="9730" max="9730" width="13" style="2"/>
    <col min="9731" max="9731" width="1.28515625" style="2" customWidth="1"/>
    <col min="9732" max="9732" width="13" style="2"/>
    <col min="9733" max="9733" width="1.140625" style="2" customWidth="1"/>
    <col min="9734" max="9734" width="13" style="2"/>
    <col min="9735" max="9735" width="1.140625" style="2" customWidth="1"/>
    <col min="9736" max="9736" width="13" style="2"/>
    <col min="9737" max="9737" width="1" style="2" customWidth="1"/>
    <col min="9738" max="9738" width="13" style="2"/>
    <col min="9739" max="9739" width="1.5703125" style="2" customWidth="1"/>
    <col min="9740" max="9740" width="13" style="2"/>
    <col min="9741" max="9741" width="15.5703125" style="2" customWidth="1"/>
    <col min="9742" max="9984" width="13" style="2"/>
    <col min="9985" max="9985" width="32.85546875" style="2" customWidth="1"/>
    <col min="9986" max="9986" width="13" style="2"/>
    <col min="9987" max="9987" width="1.28515625" style="2" customWidth="1"/>
    <col min="9988" max="9988" width="13" style="2"/>
    <col min="9989" max="9989" width="1.140625" style="2" customWidth="1"/>
    <col min="9990" max="9990" width="13" style="2"/>
    <col min="9991" max="9991" width="1.140625" style="2" customWidth="1"/>
    <col min="9992" max="9992" width="13" style="2"/>
    <col min="9993" max="9993" width="1" style="2" customWidth="1"/>
    <col min="9994" max="9994" width="13" style="2"/>
    <col min="9995" max="9995" width="1.5703125" style="2" customWidth="1"/>
    <col min="9996" max="9996" width="13" style="2"/>
    <col min="9997" max="9997" width="15.5703125" style="2" customWidth="1"/>
    <col min="9998" max="10240" width="13" style="2"/>
    <col min="10241" max="10241" width="32.85546875" style="2" customWidth="1"/>
    <col min="10242" max="10242" width="13" style="2"/>
    <col min="10243" max="10243" width="1.28515625" style="2" customWidth="1"/>
    <col min="10244" max="10244" width="13" style="2"/>
    <col min="10245" max="10245" width="1.140625" style="2" customWidth="1"/>
    <col min="10246" max="10246" width="13" style="2"/>
    <col min="10247" max="10247" width="1.140625" style="2" customWidth="1"/>
    <col min="10248" max="10248" width="13" style="2"/>
    <col min="10249" max="10249" width="1" style="2" customWidth="1"/>
    <col min="10250" max="10250" width="13" style="2"/>
    <col min="10251" max="10251" width="1.5703125" style="2" customWidth="1"/>
    <col min="10252" max="10252" width="13" style="2"/>
    <col min="10253" max="10253" width="15.5703125" style="2" customWidth="1"/>
    <col min="10254" max="10496" width="13" style="2"/>
    <col min="10497" max="10497" width="32.85546875" style="2" customWidth="1"/>
    <col min="10498" max="10498" width="13" style="2"/>
    <col min="10499" max="10499" width="1.28515625" style="2" customWidth="1"/>
    <col min="10500" max="10500" width="13" style="2"/>
    <col min="10501" max="10501" width="1.140625" style="2" customWidth="1"/>
    <col min="10502" max="10502" width="13" style="2"/>
    <col min="10503" max="10503" width="1.140625" style="2" customWidth="1"/>
    <col min="10504" max="10504" width="13" style="2"/>
    <col min="10505" max="10505" width="1" style="2" customWidth="1"/>
    <col min="10506" max="10506" width="13" style="2"/>
    <col min="10507" max="10507" width="1.5703125" style="2" customWidth="1"/>
    <col min="10508" max="10508" width="13" style="2"/>
    <col min="10509" max="10509" width="15.5703125" style="2" customWidth="1"/>
    <col min="10510" max="10752" width="13" style="2"/>
    <col min="10753" max="10753" width="32.85546875" style="2" customWidth="1"/>
    <col min="10754" max="10754" width="13" style="2"/>
    <col min="10755" max="10755" width="1.28515625" style="2" customWidth="1"/>
    <col min="10756" max="10756" width="13" style="2"/>
    <col min="10757" max="10757" width="1.140625" style="2" customWidth="1"/>
    <col min="10758" max="10758" width="13" style="2"/>
    <col min="10759" max="10759" width="1.140625" style="2" customWidth="1"/>
    <col min="10760" max="10760" width="13" style="2"/>
    <col min="10761" max="10761" width="1" style="2" customWidth="1"/>
    <col min="10762" max="10762" width="13" style="2"/>
    <col min="10763" max="10763" width="1.5703125" style="2" customWidth="1"/>
    <col min="10764" max="10764" width="13" style="2"/>
    <col min="10765" max="10765" width="15.5703125" style="2" customWidth="1"/>
    <col min="10766" max="11008" width="13" style="2"/>
    <col min="11009" max="11009" width="32.85546875" style="2" customWidth="1"/>
    <col min="11010" max="11010" width="13" style="2"/>
    <col min="11011" max="11011" width="1.28515625" style="2" customWidth="1"/>
    <col min="11012" max="11012" width="13" style="2"/>
    <col min="11013" max="11013" width="1.140625" style="2" customWidth="1"/>
    <col min="11014" max="11014" width="13" style="2"/>
    <col min="11015" max="11015" width="1.140625" style="2" customWidth="1"/>
    <col min="11016" max="11016" width="13" style="2"/>
    <col min="11017" max="11017" width="1" style="2" customWidth="1"/>
    <col min="11018" max="11018" width="13" style="2"/>
    <col min="11019" max="11019" width="1.5703125" style="2" customWidth="1"/>
    <col min="11020" max="11020" width="13" style="2"/>
    <col min="11021" max="11021" width="15.5703125" style="2" customWidth="1"/>
    <col min="11022" max="11264" width="13" style="2"/>
    <col min="11265" max="11265" width="32.85546875" style="2" customWidth="1"/>
    <col min="11266" max="11266" width="13" style="2"/>
    <col min="11267" max="11267" width="1.28515625" style="2" customWidth="1"/>
    <col min="11268" max="11268" width="13" style="2"/>
    <col min="11269" max="11269" width="1.140625" style="2" customWidth="1"/>
    <col min="11270" max="11270" width="13" style="2"/>
    <col min="11271" max="11271" width="1.140625" style="2" customWidth="1"/>
    <col min="11272" max="11272" width="13" style="2"/>
    <col min="11273" max="11273" width="1" style="2" customWidth="1"/>
    <col min="11274" max="11274" width="13" style="2"/>
    <col min="11275" max="11275" width="1.5703125" style="2" customWidth="1"/>
    <col min="11276" max="11276" width="13" style="2"/>
    <col min="11277" max="11277" width="15.5703125" style="2" customWidth="1"/>
    <col min="11278" max="11520" width="13" style="2"/>
    <col min="11521" max="11521" width="32.85546875" style="2" customWidth="1"/>
    <col min="11522" max="11522" width="13" style="2"/>
    <col min="11523" max="11523" width="1.28515625" style="2" customWidth="1"/>
    <col min="11524" max="11524" width="13" style="2"/>
    <col min="11525" max="11525" width="1.140625" style="2" customWidth="1"/>
    <col min="11526" max="11526" width="13" style="2"/>
    <col min="11527" max="11527" width="1.140625" style="2" customWidth="1"/>
    <col min="11528" max="11528" width="13" style="2"/>
    <col min="11529" max="11529" width="1" style="2" customWidth="1"/>
    <col min="11530" max="11530" width="13" style="2"/>
    <col min="11531" max="11531" width="1.5703125" style="2" customWidth="1"/>
    <col min="11532" max="11532" width="13" style="2"/>
    <col min="11533" max="11533" width="15.5703125" style="2" customWidth="1"/>
    <col min="11534" max="11776" width="13" style="2"/>
    <col min="11777" max="11777" width="32.85546875" style="2" customWidth="1"/>
    <col min="11778" max="11778" width="13" style="2"/>
    <col min="11779" max="11779" width="1.28515625" style="2" customWidth="1"/>
    <col min="11780" max="11780" width="13" style="2"/>
    <col min="11781" max="11781" width="1.140625" style="2" customWidth="1"/>
    <col min="11782" max="11782" width="13" style="2"/>
    <col min="11783" max="11783" width="1.140625" style="2" customWidth="1"/>
    <col min="11784" max="11784" width="13" style="2"/>
    <col min="11785" max="11785" width="1" style="2" customWidth="1"/>
    <col min="11786" max="11786" width="13" style="2"/>
    <col min="11787" max="11787" width="1.5703125" style="2" customWidth="1"/>
    <col min="11788" max="11788" width="13" style="2"/>
    <col min="11789" max="11789" width="15.5703125" style="2" customWidth="1"/>
    <col min="11790" max="12032" width="13" style="2"/>
    <col min="12033" max="12033" width="32.85546875" style="2" customWidth="1"/>
    <col min="12034" max="12034" width="13" style="2"/>
    <col min="12035" max="12035" width="1.28515625" style="2" customWidth="1"/>
    <col min="12036" max="12036" width="13" style="2"/>
    <col min="12037" max="12037" width="1.140625" style="2" customWidth="1"/>
    <col min="12038" max="12038" width="13" style="2"/>
    <col min="12039" max="12039" width="1.140625" style="2" customWidth="1"/>
    <col min="12040" max="12040" width="13" style="2"/>
    <col min="12041" max="12041" width="1" style="2" customWidth="1"/>
    <col min="12042" max="12042" width="13" style="2"/>
    <col min="12043" max="12043" width="1.5703125" style="2" customWidth="1"/>
    <col min="12044" max="12044" width="13" style="2"/>
    <col min="12045" max="12045" width="15.5703125" style="2" customWidth="1"/>
    <col min="12046" max="12288" width="13" style="2"/>
    <col min="12289" max="12289" width="32.85546875" style="2" customWidth="1"/>
    <col min="12290" max="12290" width="13" style="2"/>
    <col min="12291" max="12291" width="1.28515625" style="2" customWidth="1"/>
    <col min="12292" max="12292" width="13" style="2"/>
    <col min="12293" max="12293" width="1.140625" style="2" customWidth="1"/>
    <col min="12294" max="12294" width="13" style="2"/>
    <col min="12295" max="12295" width="1.140625" style="2" customWidth="1"/>
    <col min="12296" max="12296" width="13" style="2"/>
    <col min="12297" max="12297" width="1" style="2" customWidth="1"/>
    <col min="12298" max="12298" width="13" style="2"/>
    <col min="12299" max="12299" width="1.5703125" style="2" customWidth="1"/>
    <col min="12300" max="12300" width="13" style="2"/>
    <col min="12301" max="12301" width="15.5703125" style="2" customWidth="1"/>
    <col min="12302" max="12544" width="13" style="2"/>
    <col min="12545" max="12545" width="32.85546875" style="2" customWidth="1"/>
    <col min="12546" max="12546" width="13" style="2"/>
    <col min="12547" max="12547" width="1.28515625" style="2" customWidth="1"/>
    <col min="12548" max="12548" width="13" style="2"/>
    <col min="12549" max="12549" width="1.140625" style="2" customWidth="1"/>
    <col min="12550" max="12550" width="13" style="2"/>
    <col min="12551" max="12551" width="1.140625" style="2" customWidth="1"/>
    <col min="12552" max="12552" width="13" style="2"/>
    <col min="12553" max="12553" width="1" style="2" customWidth="1"/>
    <col min="12554" max="12554" width="13" style="2"/>
    <col min="12555" max="12555" width="1.5703125" style="2" customWidth="1"/>
    <col min="12556" max="12556" width="13" style="2"/>
    <col min="12557" max="12557" width="15.5703125" style="2" customWidth="1"/>
    <col min="12558" max="12800" width="13" style="2"/>
    <col min="12801" max="12801" width="32.85546875" style="2" customWidth="1"/>
    <col min="12802" max="12802" width="13" style="2"/>
    <col min="12803" max="12803" width="1.28515625" style="2" customWidth="1"/>
    <col min="12804" max="12804" width="13" style="2"/>
    <col min="12805" max="12805" width="1.140625" style="2" customWidth="1"/>
    <col min="12806" max="12806" width="13" style="2"/>
    <col min="12807" max="12807" width="1.140625" style="2" customWidth="1"/>
    <col min="12808" max="12808" width="13" style="2"/>
    <col min="12809" max="12809" width="1" style="2" customWidth="1"/>
    <col min="12810" max="12810" width="13" style="2"/>
    <col min="12811" max="12811" width="1.5703125" style="2" customWidth="1"/>
    <col min="12812" max="12812" width="13" style="2"/>
    <col min="12813" max="12813" width="15.5703125" style="2" customWidth="1"/>
    <col min="12814" max="13056" width="13" style="2"/>
    <col min="13057" max="13057" width="32.85546875" style="2" customWidth="1"/>
    <col min="13058" max="13058" width="13" style="2"/>
    <col min="13059" max="13059" width="1.28515625" style="2" customWidth="1"/>
    <col min="13060" max="13060" width="13" style="2"/>
    <col min="13061" max="13061" width="1.140625" style="2" customWidth="1"/>
    <col min="13062" max="13062" width="13" style="2"/>
    <col min="13063" max="13063" width="1.140625" style="2" customWidth="1"/>
    <col min="13064" max="13064" width="13" style="2"/>
    <col min="13065" max="13065" width="1" style="2" customWidth="1"/>
    <col min="13066" max="13066" width="13" style="2"/>
    <col min="13067" max="13067" width="1.5703125" style="2" customWidth="1"/>
    <col min="13068" max="13068" width="13" style="2"/>
    <col min="13069" max="13069" width="15.5703125" style="2" customWidth="1"/>
    <col min="13070" max="13312" width="13" style="2"/>
    <col min="13313" max="13313" width="32.85546875" style="2" customWidth="1"/>
    <col min="13314" max="13314" width="13" style="2"/>
    <col min="13315" max="13315" width="1.28515625" style="2" customWidth="1"/>
    <col min="13316" max="13316" width="13" style="2"/>
    <col min="13317" max="13317" width="1.140625" style="2" customWidth="1"/>
    <col min="13318" max="13318" width="13" style="2"/>
    <col min="13319" max="13319" width="1.140625" style="2" customWidth="1"/>
    <col min="13320" max="13320" width="13" style="2"/>
    <col min="13321" max="13321" width="1" style="2" customWidth="1"/>
    <col min="13322" max="13322" width="13" style="2"/>
    <col min="13323" max="13323" width="1.5703125" style="2" customWidth="1"/>
    <col min="13324" max="13324" width="13" style="2"/>
    <col min="13325" max="13325" width="15.5703125" style="2" customWidth="1"/>
    <col min="13326" max="13568" width="13" style="2"/>
    <col min="13569" max="13569" width="32.85546875" style="2" customWidth="1"/>
    <col min="13570" max="13570" width="13" style="2"/>
    <col min="13571" max="13571" width="1.28515625" style="2" customWidth="1"/>
    <col min="13572" max="13572" width="13" style="2"/>
    <col min="13573" max="13573" width="1.140625" style="2" customWidth="1"/>
    <col min="13574" max="13574" width="13" style="2"/>
    <col min="13575" max="13575" width="1.140625" style="2" customWidth="1"/>
    <col min="13576" max="13576" width="13" style="2"/>
    <col min="13577" max="13577" width="1" style="2" customWidth="1"/>
    <col min="13578" max="13578" width="13" style="2"/>
    <col min="13579" max="13579" width="1.5703125" style="2" customWidth="1"/>
    <col min="13580" max="13580" width="13" style="2"/>
    <col min="13581" max="13581" width="15.5703125" style="2" customWidth="1"/>
    <col min="13582" max="13824" width="13" style="2"/>
    <col min="13825" max="13825" width="32.85546875" style="2" customWidth="1"/>
    <col min="13826" max="13826" width="13" style="2"/>
    <col min="13827" max="13827" width="1.28515625" style="2" customWidth="1"/>
    <col min="13828" max="13828" width="13" style="2"/>
    <col min="13829" max="13829" width="1.140625" style="2" customWidth="1"/>
    <col min="13830" max="13830" width="13" style="2"/>
    <col min="13831" max="13831" width="1.140625" style="2" customWidth="1"/>
    <col min="13832" max="13832" width="13" style="2"/>
    <col min="13833" max="13833" width="1" style="2" customWidth="1"/>
    <col min="13834" max="13834" width="13" style="2"/>
    <col min="13835" max="13835" width="1.5703125" style="2" customWidth="1"/>
    <col min="13836" max="13836" width="13" style="2"/>
    <col min="13837" max="13837" width="15.5703125" style="2" customWidth="1"/>
    <col min="13838" max="14080" width="13" style="2"/>
    <col min="14081" max="14081" width="32.85546875" style="2" customWidth="1"/>
    <col min="14082" max="14082" width="13" style="2"/>
    <col min="14083" max="14083" width="1.28515625" style="2" customWidth="1"/>
    <col min="14084" max="14084" width="13" style="2"/>
    <col min="14085" max="14085" width="1.140625" style="2" customWidth="1"/>
    <col min="14086" max="14086" width="13" style="2"/>
    <col min="14087" max="14087" width="1.140625" style="2" customWidth="1"/>
    <col min="14088" max="14088" width="13" style="2"/>
    <col min="14089" max="14089" width="1" style="2" customWidth="1"/>
    <col min="14090" max="14090" width="13" style="2"/>
    <col min="14091" max="14091" width="1.5703125" style="2" customWidth="1"/>
    <col min="14092" max="14092" width="13" style="2"/>
    <col min="14093" max="14093" width="15.5703125" style="2" customWidth="1"/>
    <col min="14094" max="14336" width="13" style="2"/>
    <col min="14337" max="14337" width="32.85546875" style="2" customWidth="1"/>
    <col min="14338" max="14338" width="13" style="2"/>
    <col min="14339" max="14339" width="1.28515625" style="2" customWidth="1"/>
    <col min="14340" max="14340" width="13" style="2"/>
    <col min="14341" max="14341" width="1.140625" style="2" customWidth="1"/>
    <col min="14342" max="14342" width="13" style="2"/>
    <col min="14343" max="14343" width="1.140625" style="2" customWidth="1"/>
    <col min="14344" max="14344" width="13" style="2"/>
    <col min="14345" max="14345" width="1" style="2" customWidth="1"/>
    <col min="14346" max="14346" width="13" style="2"/>
    <col min="14347" max="14347" width="1.5703125" style="2" customWidth="1"/>
    <col min="14348" max="14348" width="13" style="2"/>
    <col min="14349" max="14349" width="15.5703125" style="2" customWidth="1"/>
    <col min="14350" max="14592" width="13" style="2"/>
    <col min="14593" max="14593" width="32.85546875" style="2" customWidth="1"/>
    <col min="14594" max="14594" width="13" style="2"/>
    <col min="14595" max="14595" width="1.28515625" style="2" customWidth="1"/>
    <col min="14596" max="14596" width="13" style="2"/>
    <col min="14597" max="14597" width="1.140625" style="2" customWidth="1"/>
    <col min="14598" max="14598" width="13" style="2"/>
    <col min="14599" max="14599" width="1.140625" style="2" customWidth="1"/>
    <col min="14600" max="14600" width="13" style="2"/>
    <col min="14601" max="14601" width="1" style="2" customWidth="1"/>
    <col min="14602" max="14602" width="13" style="2"/>
    <col min="14603" max="14603" width="1.5703125" style="2" customWidth="1"/>
    <col min="14604" max="14604" width="13" style="2"/>
    <col min="14605" max="14605" width="15.5703125" style="2" customWidth="1"/>
    <col min="14606" max="14848" width="13" style="2"/>
    <col min="14849" max="14849" width="32.85546875" style="2" customWidth="1"/>
    <col min="14850" max="14850" width="13" style="2"/>
    <col min="14851" max="14851" width="1.28515625" style="2" customWidth="1"/>
    <col min="14852" max="14852" width="13" style="2"/>
    <col min="14853" max="14853" width="1.140625" style="2" customWidth="1"/>
    <col min="14854" max="14854" width="13" style="2"/>
    <col min="14855" max="14855" width="1.140625" style="2" customWidth="1"/>
    <col min="14856" max="14856" width="13" style="2"/>
    <col min="14857" max="14857" width="1" style="2" customWidth="1"/>
    <col min="14858" max="14858" width="13" style="2"/>
    <col min="14859" max="14859" width="1.5703125" style="2" customWidth="1"/>
    <col min="14860" max="14860" width="13" style="2"/>
    <col min="14861" max="14861" width="15.5703125" style="2" customWidth="1"/>
    <col min="14862" max="15104" width="13" style="2"/>
    <col min="15105" max="15105" width="32.85546875" style="2" customWidth="1"/>
    <col min="15106" max="15106" width="13" style="2"/>
    <col min="15107" max="15107" width="1.28515625" style="2" customWidth="1"/>
    <col min="15108" max="15108" width="13" style="2"/>
    <col min="15109" max="15109" width="1.140625" style="2" customWidth="1"/>
    <col min="15110" max="15110" width="13" style="2"/>
    <col min="15111" max="15111" width="1.140625" style="2" customWidth="1"/>
    <col min="15112" max="15112" width="13" style="2"/>
    <col min="15113" max="15113" width="1" style="2" customWidth="1"/>
    <col min="15114" max="15114" width="13" style="2"/>
    <col min="15115" max="15115" width="1.5703125" style="2" customWidth="1"/>
    <col min="15116" max="15116" width="13" style="2"/>
    <col min="15117" max="15117" width="15.5703125" style="2" customWidth="1"/>
    <col min="15118" max="15360" width="13" style="2"/>
    <col min="15361" max="15361" width="32.85546875" style="2" customWidth="1"/>
    <col min="15362" max="15362" width="13" style="2"/>
    <col min="15363" max="15363" width="1.28515625" style="2" customWidth="1"/>
    <col min="15364" max="15364" width="13" style="2"/>
    <col min="15365" max="15365" width="1.140625" style="2" customWidth="1"/>
    <col min="15366" max="15366" width="13" style="2"/>
    <col min="15367" max="15367" width="1.140625" style="2" customWidth="1"/>
    <col min="15368" max="15368" width="13" style="2"/>
    <col min="15369" max="15369" width="1" style="2" customWidth="1"/>
    <col min="15370" max="15370" width="13" style="2"/>
    <col min="15371" max="15371" width="1.5703125" style="2" customWidth="1"/>
    <col min="15372" max="15372" width="13" style="2"/>
    <col min="15373" max="15373" width="15.5703125" style="2" customWidth="1"/>
    <col min="15374" max="15616" width="13" style="2"/>
    <col min="15617" max="15617" width="32.85546875" style="2" customWidth="1"/>
    <col min="15618" max="15618" width="13" style="2"/>
    <col min="15619" max="15619" width="1.28515625" style="2" customWidth="1"/>
    <col min="15620" max="15620" width="13" style="2"/>
    <col min="15621" max="15621" width="1.140625" style="2" customWidth="1"/>
    <col min="15622" max="15622" width="13" style="2"/>
    <col min="15623" max="15623" width="1.140625" style="2" customWidth="1"/>
    <col min="15624" max="15624" width="13" style="2"/>
    <col min="15625" max="15625" width="1" style="2" customWidth="1"/>
    <col min="15626" max="15626" width="13" style="2"/>
    <col min="15627" max="15627" width="1.5703125" style="2" customWidth="1"/>
    <col min="15628" max="15628" width="13" style="2"/>
    <col min="15629" max="15629" width="15.5703125" style="2" customWidth="1"/>
    <col min="15630" max="15872" width="13" style="2"/>
    <col min="15873" max="15873" width="32.85546875" style="2" customWidth="1"/>
    <col min="15874" max="15874" width="13" style="2"/>
    <col min="15875" max="15875" width="1.28515625" style="2" customWidth="1"/>
    <col min="15876" max="15876" width="13" style="2"/>
    <col min="15877" max="15877" width="1.140625" style="2" customWidth="1"/>
    <col min="15878" max="15878" width="13" style="2"/>
    <col min="15879" max="15879" width="1.140625" style="2" customWidth="1"/>
    <col min="15880" max="15880" width="13" style="2"/>
    <col min="15881" max="15881" width="1" style="2" customWidth="1"/>
    <col min="15882" max="15882" width="13" style="2"/>
    <col min="15883" max="15883" width="1.5703125" style="2" customWidth="1"/>
    <col min="15884" max="15884" width="13" style="2"/>
    <col min="15885" max="15885" width="15.5703125" style="2" customWidth="1"/>
    <col min="15886" max="16128" width="13" style="2"/>
    <col min="16129" max="16129" width="32.85546875" style="2" customWidth="1"/>
    <col min="16130" max="16130" width="13" style="2"/>
    <col min="16131" max="16131" width="1.28515625" style="2" customWidth="1"/>
    <col min="16132" max="16132" width="13" style="2"/>
    <col min="16133" max="16133" width="1.140625" style="2" customWidth="1"/>
    <col min="16134" max="16134" width="13" style="2"/>
    <col min="16135" max="16135" width="1.140625" style="2" customWidth="1"/>
    <col min="16136" max="16136" width="13" style="2"/>
    <col min="16137" max="16137" width="1" style="2" customWidth="1"/>
    <col min="16138" max="16138" width="13" style="2"/>
    <col min="16139" max="16139" width="1.5703125" style="2" customWidth="1"/>
    <col min="16140" max="16140" width="13" style="2"/>
    <col min="16141" max="16141" width="15.5703125" style="2" customWidth="1"/>
    <col min="16142" max="16384" width="13" style="2"/>
  </cols>
  <sheetData>
    <row r="1" spans="1:13">
      <c r="A1" s="32" t="s">
        <v>31</v>
      </c>
      <c r="B1" s="33"/>
      <c r="C1" s="33"/>
      <c r="D1" s="33"/>
      <c r="E1" s="33"/>
      <c r="F1" s="33"/>
      <c r="G1" s="33"/>
      <c r="H1" s="33"/>
      <c r="I1" s="33"/>
      <c r="J1" s="33"/>
      <c r="K1" s="130"/>
      <c r="L1" s="76"/>
      <c r="M1" s="76"/>
    </row>
    <row r="2" spans="1:13">
      <c r="A2" s="34" t="s">
        <v>203</v>
      </c>
      <c r="B2" s="17"/>
      <c r="C2" s="17"/>
      <c r="D2" s="17"/>
      <c r="E2" s="17"/>
      <c r="F2" s="17"/>
      <c r="G2" s="17"/>
      <c r="H2" s="17"/>
      <c r="I2" s="17"/>
      <c r="J2" s="17"/>
      <c r="K2" s="9"/>
      <c r="L2" s="77"/>
      <c r="M2" s="77"/>
    </row>
    <row r="3" spans="1:13">
      <c r="A3" s="35" t="s">
        <v>76</v>
      </c>
      <c r="B3" s="36"/>
      <c r="C3" s="37"/>
      <c r="D3" s="37"/>
      <c r="E3" s="37"/>
      <c r="F3" s="7"/>
      <c r="G3" s="7"/>
      <c r="H3" s="37"/>
      <c r="I3" s="37"/>
      <c r="J3" s="37"/>
      <c r="K3" s="37"/>
      <c r="L3" s="64" t="s">
        <v>77</v>
      </c>
      <c r="M3" s="78"/>
    </row>
    <row r="4" spans="1:13">
      <c r="A4" s="177" t="s">
        <v>78</v>
      </c>
      <c r="B4" s="38" t="s">
        <v>79</v>
      </c>
      <c r="C4" s="39"/>
      <c r="D4" s="38" t="s">
        <v>30</v>
      </c>
      <c r="E4" s="38"/>
      <c r="F4" s="38" t="s">
        <v>80</v>
      </c>
      <c r="G4" s="38"/>
      <c r="H4" s="38" t="s">
        <v>163</v>
      </c>
      <c r="I4" s="38"/>
      <c r="J4" s="38" t="s">
        <v>81</v>
      </c>
      <c r="K4" s="38"/>
      <c r="L4" s="38" t="s">
        <v>82</v>
      </c>
      <c r="M4" s="48"/>
    </row>
    <row r="5" spans="1:13">
      <c r="A5" s="178"/>
      <c r="B5" s="41">
        <v>44197</v>
      </c>
      <c r="C5" s="42"/>
      <c r="D5" s="41" t="s">
        <v>83</v>
      </c>
      <c r="E5" s="43"/>
      <c r="F5" s="43" t="s">
        <v>84</v>
      </c>
      <c r="G5" s="43"/>
      <c r="H5" s="43" t="s">
        <v>30</v>
      </c>
      <c r="I5" s="43"/>
      <c r="J5" s="43" t="s">
        <v>191</v>
      </c>
      <c r="K5" s="43"/>
      <c r="L5" s="41">
        <v>44560</v>
      </c>
      <c r="M5" s="44"/>
    </row>
    <row r="6" spans="1:13">
      <c r="A6" s="45" t="s">
        <v>21</v>
      </c>
      <c r="B6" s="46">
        <v>51143.62</v>
      </c>
      <c r="C6" s="47"/>
      <c r="D6" s="47">
        <v>0</v>
      </c>
      <c r="E6" s="47"/>
      <c r="F6" s="47">
        <v>0</v>
      </c>
      <c r="G6" s="47"/>
      <c r="H6" s="47">
        <v>0</v>
      </c>
      <c r="I6" s="47"/>
      <c r="J6" s="47"/>
      <c r="K6" s="47"/>
      <c r="L6" s="46">
        <f>+B6+D6-H6</f>
        <v>51143.62</v>
      </c>
      <c r="M6" s="40" t="s">
        <v>30</v>
      </c>
    </row>
    <row r="7" spans="1:13">
      <c r="A7" s="45" t="s">
        <v>99</v>
      </c>
      <c r="B7" s="47">
        <v>84241.19</v>
      </c>
      <c r="C7" s="47"/>
      <c r="D7" s="47">
        <f>658.88+1270.94</f>
        <v>1929.8200000000002</v>
      </c>
      <c r="E7" s="47"/>
      <c r="F7" s="47">
        <v>0</v>
      </c>
      <c r="G7" s="47"/>
      <c r="H7" s="47">
        <v>0</v>
      </c>
      <c r="I7" s="47"/>
      <c r="J7" s="47"/>
      <c r="K7" s="47"/>
      <c r="L7" s="47">
        <f>+B7+D7-H7</f>
        <v>86171.010000000009</v>
      </c>
      <c r="M7" s="48"/>
    </row>
    <row r="8" spans="1:13">
      <c r="A8" s="45" t="s">
        <v>164</v>
      </c>
      <c r="B8" s="47">
        <v>36913.800000000003</v>
      </c>
      <c r="C8" s="47"/>
      <c r="D8" s="49">
        <v>4878.04</v>
      </c>
      <c r="E8" s="47"/>
      <c r="F8" s="49">
        <v>0</v>
      </c>
      <c r="G8" s="47"/>
      <c r="H8" s="49">
        <v>0</v>
      </c>
      <c r="I8" s="47"/>
      <c r="J8" s="49"/>
      <c r="K8" s="47"/>
      <c r="L8" s="47">
        <f>+B8+D8</f>
        <v>41791.840000000004</v>
      </c>
      <c r="M8" s="48"/>
    </row>
    <row r="9" spans="1:13">
      <c r="A9" s="45" t="s">
        <v>86</v>
      </c>
      <c r="B9" s="47">
        <v>96428.57</v>
      </c>
      <c r="C9" s="47"/>
      <c r="D9" s="49">
        <v>0</v>
      </c>
      <c r="E9" s="47"/>
      <c r="F9" s="49">
        <v>0</v>
      </c>
      <c r="G9" s="47"/>
      <c r="H9" s="49">
        <v>0</v>
      </c>
      <c r="I9" s="47"/>
      <c r="J9" s="49"/>
      <c r="K9" s="47"/>
      <c r="L9" s="47">
        <f>+B9+D9+H9</f>
        <v>96428.57</v>
      </c>
      <c r="M9" s="48"/>
    </row>
    <row r="10" spans="1:13">
      <c r="A10" s="45" t="s">
        <v>87</v>
      </c>
      <c r="B10" s="47">
        <v>3197.25</v>
      </c>
      <c r="C10" s="47"/>
      <c r="D10" s="47">
        <v>0</v>
      </c>
      <c r="E10" s="47"/>
      <c r="F10" s="47">
        <v>0</v>
      </c>
      <c r="G10" s="47"/>
      <c r="H10" s="47">
        <v>0</v>
      </c>
      <c r="I10" s="47"/>
      <c r="J10" s="38"/>
      <c r="K10" s="47"/>
      <c r="L10" s="47">
        <f>+B10+D10-H10</f>
        <v>3197.25</v>
      </c>
      <c r="M10" s="48"/>
    </row>
    <row r="11" spans="1:13">
      <c r="A11" s="45" t="s">
        <v>68</v>
      </c>
      <c r="B11" s="50">
        <v>534.76</v>
      </c>
      <c r="C11" s="50"/>
      <c r="D11" s="51"/>
      <c r="E11" s="50"/>
      <c r="F11" s="51">
        <v>0</v>
      </c>
      <c r="G11" s="50"/>
      <c r="H11" s="51">
        <v>0</v>
      </c>
      <c r="I11" s="50"/>
      <c r="J11" s="51"/>
      <c r="K11" s="50"/>
      <c r="L11" s="50">
        <f>+B11+D11-H11</f>
        <v>534.76</v>
      </c>
      <c r="M11" s="44"/>
    </row>
    <row r="12" spans="1:13">
      <c r="A12" s="45"/>
      <c r="B12" s="47">
        <f>SUM(B6:B11)</f>
        <v>272459.19</v>
      </c>
      <c r="C12" s="47"/>
      <c r="D12" s="47">
        <f>SUM(D6:D11)</f>
        <v>6807.8600000000006</v>
      </c>
      <c r="E12" s="39"/>
      <c r="F12" s="47">
        <f>SUM(F6:F11)</f>
        <v>0</v>
      </c>
      <c r="G12" s="39"/>
      <c r="H12" s="47">
        <f>SUM(H6:H11)</f>
        <v>0</v>
      </c>
      <c r="I12" s="39"/>
      <c r="J12" s="47"/>
      <c r="K12" s="39"/>
      <c r="L12" s="47">
        <f>SUM(L6:L11)</f>
        <v>279267.05000000005</v>
      </c>
      <c r="M12" s="40"/>
    </row>
    <row r="13" spans="1:13">
      <c r="A13" s="45" t="s">
        <v>30</v>
      </c>
      <c r="B13" s="47" t="s">
        <v>30</v>
      </c>
      <c r="C13" s="47"/>
      <c r="D13" s="39"/>
      <c r="E13" s="39"/>
      <c r="F13" s="39"/>
      <c r="G13" s="39"/>
      <c r="H13" s="39"/>
      <c r="I13" s="39"/>
      <c r="J13" s="47" t="s">
        <v>30</v>
      </c>
      <c r="K13" s="47"/>
      <c r="L13" s="47" t="str">
        <f>+J13</f>
        <v xml:space="preserve"> </v>
      </c>
      <c r="M13" s="48"/>
    </row>
    <row r="14" spans="1:13">
      <c r="A14" s="45" t="s">
        <v>88</v>
      </c>
      <c r="B14" s="50">
        <v>171774.74</v>
      </c>
      <c r="C14" s="47"/>
      <c r="D14" s="50">
        <v>0</v>
      </c>
      <c r="E14" s="42"/>
      <c r="F14" s="50">
        <v>0</v>
      </c>
      <c r="G14" s="42"/>
      <c r="H14" s="50">
        <v>0</v>
      </c>
      <c r="I14" s="42"/>
      <c r="J14" s="50">
        <f>16377.96+54.9</f>
        <v>16432.86</v>
      </c>
      <c r="K14" s="42"/>
      <c r="L14" s="50">
        <f>+B14+D14+H14+J14</f>
        <v>188207.59999999998</v>
      </c>
      <c r="M14" s="44"/>
    </row>
    <row r="15" spans="1:13">
      <c r="A15" s="39"/>
      <c r="B15" s="47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48"/>
    </row>
    <row r="16" spans="1:13">
      <c r="A16" s="42"/>
      <c r="B16" s="50">
        <f>+B12-B14</f>
        <v>100684.45000000001</v>
      </c>
      <c r="C16" s="42"/>
      <c r="D16" s="50">
        <f>+D12+D14</f>
        <v>6807.8600000000006</v>
      </c>
      <c r="E16" s="42"/>
      <c r="F16" s="50">
        <f>+F12-F14</f>
        <v>0</v>
      </c>
      <c r="G16" s="42"/>
      <c r="H16" s="50">
        <f>+H12-H14</f>
        <v>0</v>
      </c>
      <c r="I16" s="42"/>
      <c r="J16" s="50">
        <f>+J14</f>
        <v>16432.86</v>
      </c>
      <c r="K16" s="42"/>
      <c r="L16" s="50">
        <f>+L12-L14</f>
        <v>91059.45000000007</v>
      </c>
      <c r="M16" s="44"/>
    </row>
    <row r="17" spans="1:15">
      <c r="A17" s="15"/>
      <c r="B17" s="52"/>
      <c r="C17" s="15"/>
      <c r="D17" s="15"/>
      <c r="E17" s="15"/>
      <c r="H17" s="15"/>
      <c r="I17" s="15"/>
      <c r="J17" s="15"/>
      <c r="K17" s="15"/>
      <c r="L17" s="52">
        <f>+B16+D16-J16+H16</f>
        <v>91059.450000000012</v>
      </c>
      <c r="O17" s="6"/>
    </row>
    <row r="18" spans="1:15">
      <c r="A18" s="17"/>
      <c r="H18" s="9"/>
      <c r="I18" s="9"/>
      <c r="J18" s="9" t="s">
        <v>30</v>
      </c>
      <c r="K18" s="9"/>
    </row>
    <row r="19" spans="1:15">
      <c r="A19" s="32" t="s">
        <v>31</v>
      </c>
      <c r="B19" s="33"/>
      <c r="C19" s="33"/>
      <c r="D19" s="33"/>
      <c r="E19" s="33"/>
      <c r="F19" s="33"/>
      <c r="G19" s="33"/>
      <c r="H19" s="53"/>
      <c r="I19" s="40"/>
      <c r="J19" s="9"/>
      <c r="K19" s="9"/>
    </row>
    <row r="20" spans="1:15">
      <c r="A20" s="34" t="s">
        <v>203</v>
      </c>
      <c r="B20" s="17"/>
      <c r="C20" s="17"/>
      <c r="D20" s="17"/>
      <c r="E20" s="17"/>
      <c r="F20" s="17"/>
      <c r="G20" s="17"/>
      <c r="H20" s="54"/>
      <c r="I20" s="48"/>
      <c r="J20" s="9"/>
      <c r="K20" s="9"/>
    </row>
    <row r="21" spans="1:15">
      <c r="A21" s="35" t="s">
        <v>89</v>
      </c>
      <c r="B21" s="36"/>
      <c r="C21" s="37"/>
      <c r="D21" s="37"/>
      <c r="E21" s="37"/>
      <c r="F21" s="37"/>
      <c r="G21" s="37"/>
      <c r="H21" s="55" t="s">
        <v>77</v>
      </c>
      <c r="I21" s="44"/>
      <c r="N21" s="6"/>
    </row>
    <row r="22" spans="1:15">
      <c r="A22" s="177" t="s">
        <v>78</v>
      </c>
      <c r="B22" s="56" t="s">
        <v>90</v>
      </c>
      <c r="C22" s="39"/>
      <c r="D22" s="38" t="s">
        <v>91</v>
      </c>
      <c r="E22" s="38"/>
      <c r="F22" s="38" t="s">
        <v>165</v>
      </c>
      <c r="G22" s="57"/>
      <c r="H22" s="38" t="s">
        <v>82</v>
      </c>
      <c r="I22" s="40"/>
    </row>
    <row r="23" spans="1:15">
      <c r="A23" s="178"/>
      <c r="B23" s="58">
        <v>44196</v>
      </c>
      <c r="C23" s="42"/>
      <c r="D23" s="41" t="s">
        <v>204</v>
      </c>
      <c r="E23" s="43"/>
      <c r="F23" s="43" t="s">
        <v>163</v>
      </c>
      <c r="G23" s="59"/>
      <c r="H23" s="41">
        <v>44561</v>
      </c>
      <c r="I23" s="44"/>
    </row>
    <row r="24" spans="1:15">
      <c r="A24" s="39" t="s">
        <v>21</v>
      </c>
      <c r="B24" s="47">
        <v>44881.36</v>
      </c>
      <c r="C24" s="47"/>
      <c r="D24" s="47">
        <v>1966.69</v>
      </c>
      <c r="E24" s="47"/>
      <c r="F24" s="47" t="s">
        <v>30</v>
      </c>
      <c r="G24" s="60"/>
      <c r="H24" s="47">
        <f>+B24+D24</f>
        <v>46848.05</v>
      </c>
      <c r="I24" s="40"/>
      <c r="L24" s="6"/>
    </row>
    <row r="25" spans="1:15">
      <c r="A25" s="45" t="s">
        <v>85</v>
      </c>
      <c r="B25" s="47">
        <v>77775.649999999994</v>
      </c>
      <c r="C25" s="47"/>
      <c r="D25" s="47">
        <v>5340.73</v>
      </c>
      <c r="E25" s="47"/>
      <c r="F25" s="47"/>
      <c r="G25" s="60"/>
      <c r="H25" s="47">
        <f>+B25+D25-F25</f>
        <v>83116.37999999999</v>
      </c>
      <c r="I25" s="48"/>
      <c r="K25" s="2" t="s">
        <v>30</v>
      </c>
    </row>
    <row r="26" spans="1:15">
      <c r="A26" s="45" t="s">
        <v>164</v>
      </c>
      <c r="B26" s="47">
        <v>0</v>
      </c>
      <c r="C26" s="47"/>
      <c r="D26" s="47">
        <v>0</v>
      </c>
      <c r="E26" s="47"/>
      <c r="F26" s="47"/>
      <c r="G26" s="60"/>
      <c r="H26" s="47">
        <f>+B26+D26-F26</f>
        <v>0</v>
      </c>
      <c r="I26" s="48"/>
    </row>
    <row r="27" spans="1:15">
      <c r="A27" s="45" t="s">
        <v>86</v>
      </c>
      <c r="B27" s="47">
        <v>45385.72</v>
      </c>
      <c r="C27" s="47"/>
      <c r="D27" s="47">
        <v>9125.44</v>
      </c>
      <c r="E27" s="47"/>
      <c r="F27" s="47">
        <v>0</v>
      </c>
      <c r="G27" s="60"/>
      <c r="H27" s="47">
        <f>+B27+D27+F27</f>
        <v>54511.16</v>
      </c>
      <c r="I27" s="48"/>
      <c r="K27" s="2" t="s">
        <v>30</v>
      </c>
    </row>
    <row r="28" spans="1:15">
      <c r="A28" s="45" t="s">
        <v>87</v>
      </c>
      <c r="B28" s="47">
        <v>3197.25</v>
      </c>
      <c r="C28" s="47"/>
      <c r="D28" s="47">
        <v>0</v>
      </c>
      <c r="E28" s="47"/>
      <c r="F28" s="47" t="s">
        <v>30</v>
      </c>
      <c r="G28" s="60"/>
      <c r="H28" s="47">
        <f>+B28+D28</f>
        <v>3197.25</v>
      </c>
      <c r="I28" s="48"/>
      <c r="K28" s="2" t="s">
        <v>30</v>
      </c>
    </row>
    <row r="29" spans="1:15">
      <c r="A29" s="45" t="s">
        <v>68</v>
      </c>
      <c r="B29" s="47">
        <v>534.76</v>
      </c>
      <c r="C29" s="47"/>
      <c r="D29" s="47">
        <v>0</v>
      </c>
      <c r="E29" s="47"/>
      <c r="F29" s="47" t="s">
        <v>30</v>
      </c>
      <c r="G29" s="60"/>
      <c r="H29" s="47">
        <f>+B29+D29</f>
        <v>534.76</v>
      </c>
      <c r="I29" s="48"/>
      <c r="K29" s="2" t="s">
        <v>30</v>
      </c>
    </row>
    <row r="30" spans="1:15">
      <c r="A30" s="61" t="s">
        <v>92</v>
      </c>
      <c r="B30" s="62">
        <f>SUM(B24:B29)</f>
        <v>171774.74</v>
      </c>
      <c r="C30" s="61"/>
      <c r="D30" s="62">
        <f>SUM(D24:D29)</f>
        <v>16432.86</v>
      </c>
      <c r="E30" s="61"/>
      <c r="F30" s="62">
        <f>SUM(F24:F29)</f>
        <v>0</v>
      </c>
      <c r="G30" s="20"/>
      <c r="H30" s="62">
        <f>SUM(H24:H29)</f>
        <v>188207.6</v>
      </c>
      <c r="I30" s="44"/>
    </row>
    <row r="31" spans="1:15">
      <c r="A31" s="17"/>
      <c r="B31" s="49"/>
      <c r="C31" s="17"/>
      <c r="D31" s="49"/>
      <c r="E31" s="17"/>
      <c r="F31" s="49"/>
      <c r="G31" s="17"/>
      <c r="H31" s="49">
        <f>+B30+D30+F30</f>
        <v>188207.59999999998</v>
      </c>
      <c r="K31" s="9"/>
    </row>
    <row r="32" spans="1:15">
      <c r="A32" s="17"/>
      <c r="B32" s="49"/>
      <c r="C32" s="17"/>
      <c r="D32" s="17"/>
      <c r="E32" s="17"/>
      <c r="F32" s="17"/>
      <c r="G32" s="17"/>
      <c r="H32" s="49"/>
      <c r="I32" s="49"/>
      <c r="J32" s="49"/>
    </row>
    <row r="33" spans="1:10">
      <c r="A33" s="32" t="s">
        <v>31</v>
      </c>
      <c r="B33" s="33"/>
      <c r="C33" s="33"/>
      <c r="D33" s="33"/>
      <c r="E33" s="33"/>
      <c r="F33" s="53"/>
      <c r="G33" s="17"/>
      <c r="H33" s="17"/>
      <c r="I33" s="17"/>
      <c r="J33" s="17"/>
    </row>
    <row r="34" spans="1:10">
      <c r="A34" s="34" t="s">
        <v>203</v>
      </c>
      <c r="B34" s="17"/>
      <c r="C34" s="17"/>
      <c r="D34" s="17"/>
      <c r="E34" s="17"/>
      <c r="F34" s="54"/>
      <c r="G34" s="17"/>
      <c r="H34" s="17"/>
      <c r="I34" s="17"/>
      <c r="J34" s="49"/>
    </row>
    <row r="35" spans="1:10">
      <c r="A35" s="63" t="s">
        <v>93</v>
      </c>
      <c r="B35" s="37"/>
      <c r="C35" s="37"/>
      <c r="D35" s="37"/>
      <c r="E35" s="37"/>
      <c r="F35" s="64"/>
      <c r="G35" s="17"/>
      <c r="H35" s="17"/>
      <c r="I35" s="17"/>
      <c r="J35" s="49"/>
    </row>
    <row r="36" spans="1:10">
      <c r="A36" s="179" t="s">
        <v>78</v>
      </c>
      <c r="B36" s="65" t="s">
        <v>79</v>
      </c>
      <c r="C36" s="66"/>
      <c r="D36" s="65" t="s">
        <v>94</v>
      </c>
      <c r="E36" s="65"/>
      <c r="F36" s="65" t="s">
        <v>95</v>
      </c>
      <c r="G36" s="67"/>
      <c r="H36" s="9"/>
      <c r="I36" s="9"/>
      <c r="J36" s="9"/>
    </row>
    <row r="37" spans="1:10">
      <c r="A37" s="178"/>
      <c r="B37" s="41">
        <v>44196</v>
      </c>
      <c r="C37" s="42"/>
      <c r="D37" s="41">
        <v>44561</v>
      </c>
      <c r="E37" s="43"/>
      <c r="F37" s="41">
        <v>44561</v>
      </c>
      <c r="G37" s="67"/>
      <c r="H37" s="68"/>
      <c r="I37" s="9"/>
    </row>
    <row r="38" spans="1:10">
      <c r="A38" s="39" t="s">
        <v>21</v>
      </c>
      <c r="B38" s="47">
        <f t="shared" ref="B38:B43" si="0">+L6</f>
        <v>51143.62</v>
      </c>
      <c r="C38" s="39"/>
      <c r="D38" s="47">
        <f>+H24</f>
        <v>46848.05</v>
      </c>
      <c r="E38" s="38"/>
      <c r="F38" s="69">
        <f t="shared" ref="F38:F43" si="1">+B38-D38</f>
        <v>4295.57</v>
      </c>
      <c r="G38" s="67"/>
      <c r="H38" s="49"/>
      <c r="I38" s="9"/>
    </row>
    <row r="39" spans="1:10">
      <c r="A39" s="45" t="s">
        <v>85</v>
      </c>
      <c r="B39" s="47">
        <f t="shared" si="0"/>
        <v>86171.010000000009</v>
      </c>
      <c r="C39" s="39"/>
      <c r="D39" s="47">
        <f>+H25</f>
        <v>83116.37999999999</v>
      </c>
      <c r="E39" s="38"/>
      <c r="F39" s="69">
        <f t="shared" si="1"/>
        <v>3054.6300000000192</v>
      </c>
      <c r="G39" s="67"/>
      <c r="H39" s="49" t="s">
        <v>30</v>
      </c>
      <c r="I39" s="9" t="s">
        <v>30</v>
      </c>
      <c r="J39" s="6" t="s">
        <v>30</v>
      </c>
    </row>
    <row r="40" spans="1:10">
      <c r="A40" s="45" t="s">
        <v>164</v>
      </c>
      <c r="B40" s="47">
        <f t="shared" si="0"/>
        <v>41791.840000000004</v>
      </c>
      <c r="C40" s="39"/>
      <c r="D40" s="47">
        <v>0</v>
      </c>
      <c r="E40" s="38"/>
      <c r="F40" s="69">
        <f t="shared" si="1"/>
        <v>41791.840000000004</v>
      </c>
      <c r="G40" s="67"/>
      <c r="H40" s="49"/>
      <c r="I40" s="9"/>
      <c r="J40" s="6"/>
    </row>
    <row r="41" spans="1:10">
      <c r="A41" s="45" t="s">
        <v>86</v>
      </c>
      <c r="B41" s="47">
        <f t="shared" si="0"/>
        <v>96428.57</v>
      </c>
      <c r="C41" s="39"/>
      <c r="D41" s="47">
        <f>+H27</f>
        <v>54511.16</v>
      </c>
      <c r="E41" s="38"/>
      <c r="F41" s="69">
        <f t="shared" si="1"/>
        <v>41917.410000000003</v>
      </c>
      <c r="G41" s="67"/>
      <c r="H41" s="49"/>
      <c r="I41" s="9"/>
    </row>
    <row r="42" spans="1:10">
      <c r="A42" s="45" t="s">
        <v>87</v>
      </c>
      <c r="B42" s="47">
        <f t="shared" si="0"/>
        <v>3197.25</v>
      </c>
      <c r="C42" s="47"/>
      <c r="D42" s="47">
        <f>+H28</f>
        <v>3197.25</v>
      </c>
      <c r="E42" s="47"/>
      <c r="F42" s="69">
        <f t="shared" si="1"/>
        <v>0</v>
      </c>
      <c r="G42" s="49"/>
      <c r="H42" s="49" t="s">
        <v>30</v>
      </c>
      <c r="I42" s="9"/>
    </row>
    <row r="43" spans="1:10">
      <c r="A43" s="45" t="s">
        <v>68</v>
      </c>
      <c r="B43" s="47">
        <f t="shared" si="0"/>
        <v>534.76</v>
      </c>
      <c r="C43" s="47"/>
      <c r="D43" s="47">
        <f>+H29</f>
        <v>534.76</v>
      </c>
      <c r="E43" s="47"/>
      <c r="F43" s="69">
        <f t="shared" si="1"/>
        <v>0</v>
      </c>
      <c r="G43" s="49"/>
      <c r="H43" s="49" t="s">
        <v>30</v>
      </c>
      <c r="I43" s="9"/>
    </row>
    <row r="44" spans="1:10">
      <c r="A44" s="61" t="s">
        <v>92</v>
      </c>
      <c r="B44" s="62">
        <f>SUM(B38:B43)</f>
        <v>279267.05000000005</v>
      </c>
      <c r="C44" s="61"/>
      <c r="D44" s="62">
        <f>SUM(D38:D43)</f>
        <v>188207.6</v>
      </c>
      <c r="E44" s="61"/>
      <c r="F44" s="62">
        <f>SUM(F38:F43)</f>
        <v>91059.450000000026</v>
      </c>
      <c r="G44" s="17"/>
      <c r="H44" s="49"/>
      <c r="I44" s="9"/>
    </row>
    <row r="45" spans="1:10">
      <c r="A45" s="17"/>
      <c r="B45" s="49"/>
      <c r="C45" s="17"/>
      <c r="D45" s="49"/>
      <c r="E45" s="17"/>
      <c r="F45" s="49">
        <f>+B44-D44</f>
        <v>91059.450000000041</v>
      </c>
      <c r="G45" s="17"/>
      <c r="H45" s="49"/>
      <c r="I45" s="9"/>
    </row>
  </sheetData>
  <mergeCells count="3">
    <mergeCell ref="A4:A5"/>
    <mergeCell ref="A22:A23"/>
    <mergeCell ref="A36:A37"/>
  </mergeCells>
  <pageMargins left="0.70866141732283472" right="0.70866141732283472" top="1.299212598425197" bottom="0.74803149606299213" header="0.31496062992125984" footer="0.31496062992125984"/>
  <pageSetup scale="77" orientation="portrait" blackAndWhite="1" horizontalDpi="360" verticalDpi="360" r:id="rId1"/>
  <headerFooter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topLeftCell="A43" workbookViewId="0">
      <selection activeCell="D15" sqref="D15"/>
    </sheetView>
  </sheetViews>
  <sheetFormatPr baseColWidth="10" defaultRowHeight="15"/>
  <cols>
    <col min="1" max="1" width="10.7109375" customWidth="1"/>
    <col min="2" max="2" width="42.85546875" customWidth="1"/>
    <col min="3" max="3" width="16.42578125" customWidth="1"/>
    <col min="6" max="6" width="13.28515625" customWidth="1"/>
    <col min="7" max="7" width="14" customWidth="1"/>
    <col min="8" max="8" width="10.85546875" customWidth="1"/>
    <col min="9" max="9" width="11.5703125" customWidth="1"/>
    <col min="10" max="10" width="12.7109375" customWidth="1"/>
    <col min="11" max="11" width="12.28515625" customWidth="1"/>
    <col min="13" max="13" width="8.85546875" customWidth="1"/>
    <col min="14" max="14" width="9.140625" customWidth="1"/>
    <col min="15" max="15" width="8.5703125" customWidth="1"/>
    <col min="16" max="16" width="10.28515625" customWidth="1"/>
  </cols>
  <sheetData>
    <row r="1" spans="1:12" ht="15.75">
      <c r="A1" s="114" t="s">
        <v>31</v>
      </c>
      <c r="B1" s="14"/>
      <c r="C1" s="14"/>
      <c r="D1" s="14"/>
      <c r="E1" s="14"/>
      <c r="F1" s="14"/>
      <c r="G1" s="14"/>
      <c r="H1" s="115"/>
    </row>
    <row r="2" spans="1:12" ht="21">
      <c r="A2" s="116" t="s">
        <v>123</v>
      </c>
      <c r="B2" s="110"/>
      <c r="C2" s="110"/>
      <c r="D2" s="4"/>
      <c r="E2" s="4"/>
      <c r="F2" s="4"/>
      <c r="G2" s="4"/>
      <c r="H2" s="117"/>
      <c r="I2" s="4"/>
      <c r="J2" s="4"/>
      <c r="K2" s="4"/>
      <c r="L2" s="4"/>
    </row>
    <row r="3" spans="1:12">
      <c r="A3" s="180" t="s">
        <v>151</v>
      </c>
      <c r="B3" s="181"/>
      <c r="C3" s="181"/>
      <c r="D3" s="4"/>
      <c r="E3" s="9"/>
      <c r="F3" s="9"/>
      <c r="G3" s="9"/>
      <c r="H3" s="77"/>
      <c r="I3" s="9"/>
      <c r="J3" s="83"/>
      <c r="K3" s="4"/>
      <c r="L3" s="4"/>
    </row>
    <row r="4" spans="1:12">
      <c r="A4" s="118" t="s">
        <v>30</v>
      </c>
      <c r="B4" s="7" t="s">
        <v>30</v>
      </c>
      <c r="C4" s="7"/>
      <c r="D4" s="80"/>
      <c r="E4" s="16" t="s">
        <v>30</v>
      </c>
      <c r="F4" s="119"/>
      <c r="G4" s="119"/>
      <c r="H4" s="176"/>
      <c r="I4" s="172">
        <v>2020</v>
      </c>
      <c r="J4" s="71"/>
      <c r="K4" s="4"/>
      <c r="L4" s="71"/>
    </row>
    <row r="5" spans="1:12">
      <c r="A5" s="84" t="s">
        <v>104</v>
      </c>
      <c r="B5" s="84" t="s">
        <v>103</v>
      </c>
      <c r="C5" s="112" t="s">
        <v>115</v>
      </c>
      <c r="D5" s="84" t="s">
        <v>102</v>
      </c>
      <c r="E5" s="84" t="s">
        <v>32</v>
      </c>
      <c r="F5" s="84" t="s">
        <v>105</v>
      </c>
      <c r="G5" s="84" t="s">
        <v>70</v>
      </c>
      <c r="H5" s="84" t="s">
        <v>150</v>
      </c>
      <c r="I5" s="172" t="s">
        <v>70</v>
      </c>
      <c r="J5" s="9"/>
      <c r="K5" s="4"/>
      <c r="L5" s="74"/>
    </row>
    <row r="6" spans="1:12" ht="16.5">
      <c r="A6" s="91">
        <v>41304</v>
      </c>
      <c r="B6" s="72" t="s">
        <v>117</v>
      </c>
      <c r="C6" s="111" t="s">
        <v>118</v>
      </c>
      <c r="D6" s="109" t="s">
        <v>112</v>
      </c>
      <c r="E6" s="85">
        <v>35705.360000000001</v>
      </c>
      <c r="F6" s="86">
        <f>31598.85+535.98</f>
        <v>32134.829999999998</v>
      </c>
      <c r="G6" s="87">
        <f>+E6-F6</f>
        <v>3570.5300000000025</v>
      </c>
      <c r="H6" s="87">
        <v>0</v>
      </c>
      <c r="I6" s="173">
        <f>+G6-H6</f>
        <v>3570.5300000000025</v>
      </c>
      <c r="J6" s="70"/>
      <c r="K6" s="4"/>
      <c r="L6" s="10"/>
    </row>
    <row r="7" spans="1:12" ht="16.5">
      <c r="A7" s="91">
        <v>41687</v>
      </c>
      <c r="B7" s="72" t="s">
        <v>121</v>
      </c>
      <c r="C7" s="111" t="s">
        <v>122</v>
      </c>
      <c r="D7" s="109" t="s">
        <v>110</v>
      </c>
      <c r="E7" s="88">
        <v>37491.08</v>
      </c>
      <c r="F7" s="89">
        <f>25868.86+6748.4+1124.71</f>
        <v>33741.97</v>
      </c>
      <c r="G7" s="90">
        <f>+E7-F7</f>
        <v>3749.1100000000006</v>
      </c>
      <c r="H7" s="90">
        <v>0</v>
      </c>
      <c r="I7" s="174">
        <f>+G7-H7</f>
        <v>3749.1100000000006</v>
      </c>
      <c r="J7" s="70"/>
      <c r="K7" s="4"/>
      <c r="L7" s="10"/>
    </row>
    <row r="8" spans="1:12" ht="16.5">
      <c r="A8" s="91">
        <v>42306</v>
      </c>
      <c r="B8" s="72" t="s">
        <v>119</v>
      </c>
      <c r="C8" s="111" t="s">
        <v>120</v>
      </c>
      <c r="D8" s="109" t="s">
        <v>111</v>
      </c>
      <c r="E8" s="88">
        <v>35703.57</v>
      </c>
      <c r="F8" s="89">
        <f>13924.39+6426.24+0.12+5355.5+535.55+535.57</f>
        <v>26777.369999999995</v>
      </c>
      <c r="G8" s="90">
        <f>+E8-F8</f>
        <v>8926.2000000000044</v>
      </c>
      <c r="H8" s="90">
        <v>5355.84</v>
      </c>
      <c r="I8" s="174">
        <f>+G8-H8</f>
        <v>3570.3600000000042</v>
      </c>
      <c r="J8" s="70"/>
      <c r="K8" s="4"/>
      <c r="L8" s="10"/>
    </row>
    <row r="9" spans="1:12" ht="16.5">
      <c r="A9" s="91">
        <v>42016</v>
      </c>
      <c r="B9" s="72" t="s">
        <v>114</v>
      </c>
      <c r="C9" s="111" t="s">
        <v>116</v>
      </c>
      <c r="D9" s="109" t="s">
        <v>113</v>
      </c>
      <c r="E9" s="88">
        <v>14723.21</v>
      </c>
      <c r="F9" s="89">
        <f>7729.69+2650.18+2208.5+220.85+220.85</f>
        <v>13030.07</v>
      </c>
      <c r="G9" s="90">
        <f>+E9-F9</f>
        <v>1693.1399999999994</v>
      </c>
      <c r="H9" s="90">
        <v>220.82</v>
      </c>
      <c r="I9" s="174">
        <f>+G9-H9</f>
        <v>1472.3199999999995</v>
      </c>
      <c r="J9" s="70"/>
      <c r="K9" s="4"/>
      <c r="L9" s="10"/>
    </row>
    <row r="10" spans="1:12" ht="17.25" thickBot="1">
      <c r="A10" s="113" t="s">
        <v>30</v>
      </c>
      <c r="B10" s="72"/>
      <c r="C10" s="72"/>
      <c r="D10" s="73"/>
      <c r="E10" s="88">
        <f>SUM(E6:E9)</f>
        <v>123623.22</v>
      </c>
      <c r="F10" s="88">
        <f t="shared" ref="F10:I10" si="0">SUM(F6:F9)</f>
        <v>105684.23999999999</v>
      </c>
      <c r="G10" s="88">
        <f t="shared" si="0"/>
        <v>17938.980000000007</v>
      </c>
      <c r="H10" s="88">
        <f t="shared" si="0"/>
        <v>5576.66</v>
      </c>
      <c r="I10" s="175">
        <f t="shared" si="0"/>
        <v>12362.320000000007</v>
      </c>
      <c r="J10" s="70"/>
      <c r="K10" s="4"/>
      <c r="L10" s="10"/>
    </row>
    <row r="11" spans="1:12" ht="15.75" thickTop="1">
      <c r="G11" s="4"/>
      <c r="H11" s="4"/>
      <c r="I11" s="4"/>
      <c r="J11" s="4"/>
      <c r="K11" s="4"/>
      <c r="L11" s="4"/>
    </row>
    <row r="12" spans="1:12">
      <c r="G12" s="4"/>
      <c r="H12" s="4"/>
      <c r="I12" s="4"/>
      <c r="J12" s="4"/>
      <c r="K12" s="4"/>
      <c r="L12" s="4"/>
    </row>
    <row r="13" spans="1:12" ht="15.75">
      <c r="A13" s="114" t="s">
        <v>31</v>
      </c>
      <c r="B13" s="14"/>
      <c r="C13" s="14"/>
      <c r="D13" s="14"/>
      <c r="E13" s="14"/>
      <c r="F13" s="14"/>
      <c r="G13" s="115"/>
    </row>
    <row r="14" spans="1:12" ht="21">
      <c r="A14" s="116" t="s">
        <v>123</v>
      </c>
      <c r="B14" s="110"/>
      <c r="C14" s="110"/>
      <c r="D14" s="4"/>
      <c r="E14" s="4"/>
      <c r="F14" s="4"/>
      <c r="G14" s="117"/>
    </row>
    <row r="15" spans="1:12">
      <c r="A15" s="180" t="s">
        <v>152</v>
      </c>
      <c r="B15" s="181"/>
      <c r="C15" s="181"/>
      <c r="D15" s="4"/>
      <c r="E15" s="9"/>
      <c r="F15" s="9"/>
      <c r="G15" s="77"/>
    </row>
    <row r="16" spans="1:12">
      <c r="A16" s="118" t="s">
        <v>30</v>
      </c>
      <c r="B16" s="7" t="s">
        <v>30</v>
      </c>
      <c r="C16" s="7"/>
      <c r="D16" s="80"/>
      <c r="E16" s="16" t="s">
        <v>30</v>
      </c>
      <c r="F16" s="119"/>
      <c r="G16" s="120"/>
    </row>
    <row r="17" spans="1:13">
      <c r="A17" s="84" t="s">
        <v>104</v>
      </c>
      <c r="B17" s="84" t="s">
        <v>103</v>
      </c>
      <c r="C17" s="112" t="s">
        <v>115</v>
      </c>
      <c r="D17" s="84" t="s">
        <v>102</v>
      </c>
      <c r="E17" s="84" t="s">
        <v>32</v>
      </c>
      <c r="F17" s="84" t="s">
        <v>105</v>
      </c>
      <c r="G17" s="84" t="s">
        <v>70</v>
      </c>
    </row>
    <row r="18" spans="1:13" ht="16.5">
      <c r="A18" s="91">
        <v>41304</v>
      </c>
      <c r="B18" s="72" t="s">
        <v>117</v>
      </c>
      <c r="C18" s="126" t="s">
        <v>118</v>
      </c>
      <c r="D18" s="109" t="s">
        <v>112</v>
      </c>
      <c r="E18" s="85">
        <v>35705.360000000001</v>
      </c>
      <c r="F18" s="86">
        <f>31598.85+535.98</f>
        <v>32134.829999999998</v>
      </c>
      <c r="G18" s="90">
        <f>+E18-F18</f>
        <v>3570.5300000000025</v>
      </c>
    </row>
    <row r="19" spans="1:13" ht="16.5">
      <c r="A19" s="91">
        <v>41687</v>
      </c>
      <c r="B19" s="72" t="s">
        <v>121</v>
      </c>
      <c r="C19" s="126" t="s">
        <v>122</v>
      </c>
      <c r="D19" s="109" t="s">
        <v>110</v>
      </c>
      <c r="E19" s="88">
        <v>37491.08</v>
      </c>
      <c r="F19" s="89">
        <f>25868.86+6748.4+1124.71</f>
        <v>33741.97</v>
      </c>
      <c r="G19" s="90">
        <f>+E19-F19</f>
        <v>3749.1100000000006</v>
      </c>
    </row>
    <row r="20" spans="1:13" ht="16.5">
      <c r="A20" s="91">
        <v>42306</v>
      </c>
      <c r="B20" s="72" t="s">
        <v>119</v>
      </c>
      <c r="C20" s="126" t="s">
        <v>120</v>
      </c>
      <c r="D20" s="109" t="s">
        <v>111</v>
      </c>
      <c r="E20" s="88">
        <v>35703.57</v>
      </c>
      <c r="F20" s="89">
        <f>13924.39+6426.24+0.12+5355.5+535.55+535.57+5357.73-1.89</f>
        <v>32133.209999999995</v>
      </c>
      <c r="G20" s="90">
        <f>+E20-F20</f>
        <v>3570.3600000000042</v>
      </c>
    </row>
    <row r="21" spans="1:13" ht="16.5">
      <c r="A21" s="91">
        <v>42016</v>
      </c>
      <c r="B21" s="72" t="s">
        <v>114</v>
      </c>
      <c r="C21" s="126" t="s">
        <v>116</v>
      </c>
      <c r="D21" s="109" t="s">
        <v>113</v>
      </c>
      <c r="E21" s="88">
        <v>14723.21</v>
      </c>
      <c r="F21" s="89">
        <f>7729.69+2650.18+2208.5+220.85+220.85+220.82</f>
        <v>13250.89</v>
      </c>
      <c r="G21" s="90">
        <f>+E21-F21</f>
        <v>1472.3199999999997</v>
      </c>
    </row>
    <row r="22" spans="1:13" ht="17.25" thickBot="1">
      <c r="A22" s="113" t="s">
        <v>30</v>
      </c>
      <c r="B22" s="72"/>
      <c r="C22" s="72"/>
      <c r="D22" s="73"/>
      <c r="E22" s="92">
        <f>SUM(E16:E21)</f>
        <v>123623.22</v>
      </c>
      <c r="F22" s="92">
        <f>SUM(F16:F21)</f>
        <v>111260.9</v>
      </c>
      <c r="G22" s="88">
        <f>SUM(G16:G21)</f>
        <v>12362.320000000007</v>
      </c>
    </row>
    <row r="23" spans="1:13" ht="15.75" thickTop="1">
      <c r="G23" s="4"/>
    </row>
    <row r="24" spans="1:13" ht="16.5">
      <c r="A24" s="180" t="s">
        <v>153</v>
      </c>
      <c r="B24" s="181"/>
      <c r="C24" s="181"/>
      <c r="F24" s="182" t="s">
        <v>154</v>
      </c>
      <c r="G24" s="183"/>
      <c r="I24" s="182" t="s">
        <v>155</v>
      </c>
      <c r="J24" s="183"/>
      <c r="K24" s="74"/>
      <c r="L24" s="138" t="s">
        <v>156</v>
      </c>
      <c r="M24" s="143" t="s">
        <v>156</v>
      </c>
    </row>
    <row r="25" spans="1:13" ht="16.5">
      <c r="A25" s="84" t="s">
        <v>104</v>
      </c>
      <c r="B25" s="84" t="s">
        <v>103</v>
      </c>
      <c r="C25" s="112" t="s">
        <v>115</v>
      </c>
      <c r="D25" s="84" t="s">
        <v>102</v>
      </c>
      <c r="E25" s="84" t="s">
        <v>32</v>
      </c>
      <c r="F25" s="112" t="s">
        <v>157</v>
      </c>
      <c r="G25" s="112" t="s">
        <v>158</v>
      </c>
      <c r="H25" s="135" t="s">
        <v>159</v>
      </c>
      <c r="I25" s="127" t="s">
        <v>105</v>
      </c>
      <c r="J25" s="128" t="s">
        <v>160</v>
      </c>
      <c r="K25" s="137" t="s">
        <v>161</v>
      </c>
      <c r="L25" s="139" t="s">
        <v>162</v>
      </c>
      <c r="M25" s="147" t="s">
        <v>187</v>
      </c>
    </row>
    <row r="26" spans="1:13" ht="16.5">
      <c r="A26" s="91">
        <v>41304</v>
      </c>
      <c r="B26" s="72" t="s">
        <v>117</v>
      </c>
      <c r="C26" s="126" t="s">
        <v>118</v>
      </c>
      <c r="D26" s="109" t="s">
        <v>112</v>
      </c>
      <c r="E26" s="85">
        <v>35705.360000000001</v>
      </c>
      <c r="F26" s="88"/>
      <c r="G26" s="88"/>
      <c r="H26" s="85">
        <f>+E26-F26+G26</f>
        <v>35705.360000000001</v>
      </c>
      <c r="I26" s="86">
        <f>31598.85+535.98</f>
        <v>32134.829999999998</v>
      </c>
      <c r="J26" s="86"/>
      <c r="K26" s="86">
        <f>+I26+J26</f>
        <v>32134.829999999998</v>
      </c>
      <c r="L26" s="87">
        <f>+H26-K26</f>
        <v>3570.5300000000025</v>
      </c>
      <c r="M26" s="142">
        <v>0.1</v>
      </c>
    </row>
    <row r="27" spans="1:13" ht="16.5">
      <c r="A27" s="91">
        <v>41687</v>
      </c>
      <c r="B27" s="72" t="s">
        <v>121</v>
      </c>
      <c r="C27" s="126" t="s">
        <v>122</v>
      </c>
      <c r="D27" s="109" t="s">
        <v>110</v>
      </c>
      <c r="E27" s="88">
        <v>37491.08</v>
      </c>
      <c r="F27" s="85">
        <v>33741.97</v>
      </c>
      <c r="G27" s="85">
        <v>16250.89</v>
      </c>
      <c r="H27" s="85">
        <f>+E27-F27+G27</f>
        <v>20000</v>
      </c>
      <c r="I27" s="89">
        <f>25868.86+6748.4+1124.71</f>
        <v>33741.97</v>
      </c>
      <c r="J27" s="89">
        <v>-33741.97</v>
      </c>
      <c r="K27" s="86">
        <f t="shared" ref="K27:K29" si="1">+I27+J27</f>
        <v>0</v>
      </c>
      <c r="L27" s="87">
        <f t="shared" ref="L27:L29" si="2">+H27-K27</f>
        <v>20000</v>
      </c>
      <c r="M27" s="142">
        <v>0.2</v>
      </c>
    </row>
    <row r="28" spans="1:13" ht="16.5">
      <c r="A28" s="91">
        <v>42306</v>
      </c>
      <c r="B28" s="72" t="s">
        <v>119</v>
      </c>
      <c r="C28" s="126" t="s">
        <v>120</v>
      </c>
      <c r="D28" s="109" t="s">
        <v>111</v>
      </c>
      <c r="E28" s="88">
        <v>35703.57</v>
      </c>
      <c r="F28" s="85">
        <v>32133.21</v>
      </c>
      <c r="G28" s="85">
        <v>22429.64</v>
      </c>
      <c r="H28" s="85">
        <f>+E28-F28+G28</f>
        <v>26000</v>
      </c>
      <c r="I28" s="89">
        <f>13924.39+6426.24+0.12+5355.5+535.55+535.57+5357.73-1.89</f>
        <v>32133.209999999995</v>
      </c>
      <c r="J28" s="89">
        <v>-32133.21</v>
      </c>
      <c r="K28" s="86">
        <f t="shared" si="1"/>
        <v>0</v>
      </c>
      <c r="L28" s="87">
        <f t="shared" si="2"/>
        <v>26000</v>
      </c>
      <c r="M28" s="142">
        <v>0.2</v>
      </c>
    </row>
    <row r="29" spans="1:13" ht="16.5">
      <c r="A29" s="91">
        <v>42016</v>
      </c>
      <c r="B29" s="72" t="s">
        <v>114</v>
      </c>
      <c r="C29" s="126" t="s">
        <v>116</v>
      </c>
      <c r="D29" s="109" t="s">
        <v>113</v>
      </c>
      <c r="E29" s="88">
        <v>14723.21</v>
      </c>
      <c r="F29" s="85"/>
      <c r="G29" s="85"/>
      <c r="H29" s="85">
        <f t="shared" ref="H29" si="3">+E29-F29+G29</f>
        <v>14723.21</v>
      </c>
      <c r="I29" s="89">
        <f>7729.69+2650.18+2208.5+220.85+220.85+220.82</f>
        <v>13250.89</v>
      </c>
      <c r="J29" s="89"/>
      <c r="K29" s="86">
        <f t="shared" si="1"/>
        <v>13250.89</v>
      </c>
      <c r="L29" s="87">
        <f t="shared" si="2"/>
        <v>1472.3199999999997</v>
      </c>
      <c r="M29" s="142">
        <v>0.1</v>
      </c>
    </row>
    <row r="30" spans="1:13" ht="17.25" thickBot="1">
      <c r="A30" s="113" t="s">
        <v>30</v>
      </c>
      <c r="B30" s="72"/>
      <c r="C30" s="72"/>
      <c r="D30" s="73"/>
      <c r="E30" s="92">
        <f>SUM(E24:E29)</f>
        <v>123623.22</v>
      </c>
      <c r="F30" s="92">
        <f>SUM(F24:F29)</f>
        <v>65875.179999999993</v>
      </c>
      <c r="G30" s="92">
        <f>SUM(G24:G29)</f>
        <v>38680.53</v>
      </c>
      <c r="H30" s="136">
        <f>SUM(H26:H29)</f>
        <v>96428.57</v>
      </c>
      <c r="I30" s="92">
        <f>SUM(I26:I29)</f>
        <v>111260.9</v>
      </c>
      <c r="J30" s="92">
        <f t="shared" ref="J30:L30" si="4">SUM(J26:J29)</f>
        <v>-65875.179999999993</v>
      </c>
      <c r="K30" s="136">
        <f>SUM(K26:K29)</f>
        <v>45385.72</v>
      </c>
      <c r="L30" s="136">
        <f t="shared" si="4"/>
        <v>51042.85</v>
      </c>
    </row>
    <row r="31" spans="1:13" ht="17.25" thickTop="1">
      <c r="G31" s="4"/>
      <c r="I31" s="129" t="s">
        <v>30</v>
      </c>
      <c r="J31" s="95" t="s">
        <v>30</v>
      </c>
      <c r="K31" s="95"/>
      <c r="L31" s="4"/>
    </row>
    <row r="32" spans="1:13" ht="16.5">
      <c r="A32" s="180" t="s">
        <v>206</v>
      </c>
      <c r="B32" s="181"/>
      <c r="C32" s="181"/>
      <c r="E32" s="4"/>
      <c r="F32" s="141" t="s">
        <v>30</v>
      </c>
      <c r="G32" s="141"/>
      <c r="H32" s="4"/>
      <c r="I32" s="141" t="s">
        <v>30</v>
      </c>
      <c r="J32" s="148" t="s">
        <v>186</v>
      </c>
      <c r="K32" s="146" t="s">
        <v>30</v>
      </c>
      <c r="M32" s="143" t="s">
        <v>184</v>
      </c>
    </row>
    <row r="33" spans="1:16" ht="16.5">
      <c r="A33" s="84" t="s">
        <v>104</v>
      </c>
      <c r="B33" s="84" t="s">
        <v>103</v>
      </c>
      <c r="C33" s="112" t="s">
        <v>115</v>
      </c>
      <c r="D33" s="84" t="s">
        <v>102</v>
      </c>
      <c r="E33" s="84" t="s">
        <v>180</v>
      </c>
      <c r="F33" s="112" t="s">
        <v>181</v>
      </c>
      <c r="G33" s="84" t="s">
        <v>70</v>
      </c>
      <c r="H33" s="127" t="s">
        <v>183</v>
      </c>
      <c r="I33" s="127" t="s">
        <v>182</v>
      </c>
      <c r="J33" s="140" t="s">
        <v>205</v>
      </c>
      <c r="K33" s="84" t="s">
        <v>70</v>
      </c>
      <c r="L33" s="149" t="s">
        <v>183</v>
      </c>
      <c r="M33" s="147" t="s">
        <v>185</v>
      </c>
    </row>
    <row r="34" spans="1:16" ht="16.5">
      <c r="A34" s="91">
        <v>41304</v>
      </c>
      <c r="B34" s="72" t="s">
        <v>117</v>
      </c>
      <c r="C34" s="126" t="s">
        <v>118</v>
      </c>
      <c r="D34" s="109" t="s">
        <v>112</v>
      </c>
      <c r="E34" s="85">
        <v>35705.360000000001</v>
      </c>
      <c r="F34" s="88">
        <v>32134.83</v>
      </c>
      <c r="G34" s="88">
        <f>+E34-F34</f>
        <v>3570.5299999999988</v>
      </c>
      <c r="H34" s="86">
        <v>3570.53</v>
      </c>
      <c r="I34" s="86">
        <f>+G34-H34</f>
        <v>0</v>
      </c>
      <c r="J34" s="86"/>
      <c r="K34" s="85">
        <f>+G34-J34</f>
        <v>3570.5299999999988</v>
      </c>
      <c r="L34" s="142">
        <v>0.1</v>
      </c>
      <c r="M34" s="144"/>
    </row>
    <row r="35" spans="1:16" ht="16.5">
      <c r="A35" s="91">
        <v>41687</v>
      </c>
      <c r="B35" s="72" t="s">
        <v>121</v>
      </c>
      <c r="C35" s="126" t="s">
        <v>122</v>
      </c>
      <c r="D35" s="109" t="s">
        <v>110</v>
      </c>
      <c r="E35" s="88">
        <v>20000</v>
      </c>
      <c r="F35" s="85">
        <v>0</v>
      </c>
      <c r="G35" s="88">
        <f t="shared" ref="G35:G37" si="5">+E35-F35</f>
        <v>20000</v>
      </c>
      <c r="H35" s="89">
        <v>4000</v>
      </c>
      <c r="I35" s="86">
        <f t="shared" ref="I35:I37" si="6">+G35-H35</f>
        <v>16000</v>
      </c>
      <c r="J35" s="89">
        <v>4000.44</v>
      </c>
      <c r="K35" s="88">
        <f t="shared" ref="K35:K37" si="7">+G35-J35</f>
        <v>15999.56</v>
      </c>
      <c r="L35" s="142">
        <v>0.2</v>
      </c>
      <c r="M35" s="145">
        <v>4</v>
      </c>
      <c r="O35" t="s">
        <v>30</v>
      </c>
    </row>
    <row r="36" spans="1:16" ht="16.5">
      <c r="A36" s="91">
        <v>42306</v>
      </c>
      <c r="B36" s="72" t="s">
        <v>119</v>
      </c>
      <c r="C36" s="126" t="s">
        <v>120</v>
      </c>
      <c r="D36" s="109" t="s">
        <v>111</v>
      </c>
      <c r="E36" s="88">
        <v>26000</v>
      </c>
      <c r="F36" s="85">
        <v>0</v>
      </c>
      <c r="G36" s="88">
        <f t="shared" si="5"/>
        <v>26000</v>
      </c>
      <c r="H36" s="89">
        <v>5500</v>
      </c>
      <c r="I36" s="86">
        <f t="shared" si="6"/>
        <v>20500</v>
      </c>
      <c r="J36" s="89">
        <v>5125</v>
      </c>
      <c r="K36" s="88">
        <f t="shared" si="7"/>
        <v>20875</v>
      </c>
      <c r="L36" s="142">
        <v>0.2</v>
      </c>
      <c r="M36" s="145">
        <v>4</v>
      </c>
    </row>
    <row r="37" spans="1:16" ht="16.5">
      <c r="A37" s="91">
        <v>42016</v>
      </c>
      <c r="B37" s="72" t="s">
        <v>114</v>
      </c>
      <c r="C37" s="126" t="s">
        <v>116</v>
      </c>
      <c r="D37" s="109" t="s">
        <v>113</v>
      </c>
      <c r="E37" s="88">
        <v>14723.21</v>
      </c>
      <c r="F37" s="85">
        <v>13250.89</v>
      </c>
      <c r="G37" s="88">
        <f t="shared" si="5"/>
        <v>1472.3199999999997</v>
      </c>
      <c r="H37" s="89">
        <v>1472.32</v>
      </c>
      <c r="I37" s="86">
        <f t="shared" si="6"/>
        <v>0</v>
      </c>
      <c r="J37" s="89"/>
      <c r="K37" s="88">
        <f t="shared" si="7"/>
        <v>1472.3199999999997</v>
      </c>
      <c r="L37" s="142">
        <v>0.1</v>
      </c>
      <c r="M37" s="144"/>
    </row>
    <row r="38" spans="1:16" ht="17.25" thickBot="1">
      <c r="A38" s="113" t="s">
        <v>30</v>
      </c>
      <c r="B38" s="72"/>
      <c r="C38" s="72"/>
      <c r="D38" s="73"/>
      <c r="E38" s="92">
        <f>SUM(E32:E37)</f>
        <v>96428.57</v>
      </c>
      <c r="F38" s="92">
        <f>SUM(F32:F37)</f>
        <v>45385.72</v>
      </c>
      <c r="G38" s="92">
        <f>SUM(G32:G37)</f>
        <v>51042.85</v>
      </c>
      <c r="H38" s="92">
        <f>SUM(H34:H37)</f>
        <v>14542.85</v>
      </c>
      <c r="I38" s="92">
        <f>SUM(I34:I37)</f>
        <v>36500</v>
      </c>
      <c r="J38" s="92">
        <f t="shared" ref="J38" si="8">SUM(J34:J37)</f>
        <v>9125.44</v>
      </c>
      <c r="K38" s="92">
        <f>SUM(K34:K37)</f>
        <v>41917.409999999996</v>
      </c>
      <c r="L38" s="95"/>
    </row>
    <row r="39" spans="1:16" ht="17.25" thickTop="1">
      <c r="G39" s="88">
        <f>+E38-F38</f>
        <v>51042.850000000006</v>
      </c>
      <c r="K39" s="88">
        <f>+G38-J38</f>
        <v>41917.409999999996</v>
      </c>
      <c r="L39" s="9"/>
    </row>
    <row r="40" spans="1:16">
      <c r="L40" s="4"/>
    </row>
    <row r="41" spans="1:16">
      <c r="A41" s="180" t="s">
        <v>193</v>
      </c>
      <c r="B41" s="181"/>
      <c r="C41" s="181"/>
      <c r="D41" s="25" t="s">
        <v>166</v>
      </c>
      <c r="E41" s="25" t="s">
        <v>167</v>
      </c>
      <c r="F41" s="25" t="s">
        <v>168</v>
      </c>
      <c r="G41" s="25" t="s">
        <v>169</v>
      </c>
      <c r="H41" s="25" t="s">
        <v>170</v>
      </c>
      <c r="I41" s="25" t="s">
        <v>171</v>
      </c>
      <c r="J41" s="25" t="s">
        <v>172</v>
      </c>
      <c r="K41" s="25" t="s">
        <v>173</v>
      </c>
      <c r="L41" s="25" t="s">
        <v>175</v>
      </c>
      <c r="M41" s="25" t="s">
        <v>188</v>
      </c>
      <c r="N41" s="25" t="s">
        <v>189</v>
      </c>
      <c r="O41" s="25" t="s">
        <v>190</v>
      </c>
      <c r="P41" s="25" t="s">
        <v>174</v>
      </c>
    </row>
    <row r="42" spans="1:16" ht="16.5">
      <c r="A42" s="84" t="s">
        <v>104</v>
      </c>
      <c r="B42" s="84" t="s">
        <v>103</v>
      </c>
      <c r="C42" s="112"/>
      <c r="D42" s="84"/>
      <c r="E42" s="84"/>
      <c r="F42" s="112"/>
      <c r="G42" s="84"/>
      <c r="H42" s="127"/>
      <c r="I42" s="127"/>
      <c r="J42" s="84"/>
      <c r="K42" s="84"/>
      <c r="L42" s="149"/>
      <c r="M42" s="149"/>
      <c r="N42" s="149"/>
      <c r="O42" s="149"/>
      <c r="P42" s="109"/>
    </row>
    <row r="43" spans="1:16" ht="16.5">
      <c r="A43" s="91">
        <v>41304</v>
      </c>
      <c r="B43" s="72" t="s">
        <v>117</v>
      </c>
      <c r="C43" s="126" t="s">
        <v>118</v>
      </c>
      <c r="D43" s="109"/>
      <c r="E43" s="85"/>
      <c r="F43" s="88"/>
      <c r="G43" s="88"/>
      <c r="H43" s="86"/>
      <c r="I43" s="86"/>
      <c r="J43" s="86"/>
      <c r="K43" s="88"/>
      <c r="L43" s="151"/>
      <c r="M43" s="151"/>
      <c r="N43" s="151"/>
      <c r="O43" s="151"/>
      <c r="P43" s="109"/>
    </row>
    <row r="44" spans="1:16" ht="16.5">
      <c r="A44" s="91">
        <v>41687</v>
      </c>
      <c r="B44" s="72" t="s">
        <v>121</v>
      </c>
      <c r="C44" s="126" t="s">
        <v>122</v>
      </c>
      <c r="D44" s="109">
        <v>333.36</v>
      </c>
      <c r="E44" s="109">
        <v>333.36</v>
      </c>
      <c r="F44" s="109">
        <v>333.36</v>
      </c>
      <c r="G44" s="109">
        <v>333.36</v>
      </c>
      <c r="H44" s="109">
        <v>333.36</v>
      </c>
      <c r="I44" s="109">
        <v>333.36</v>
      </c>
      <c r="J44" s="109">
        <v>333.36</v>
      </c>
      <c r="K44" s="109">
        <v>333.36</v>
      </c>
      <c r="L44" s="109">
        <v>333.39</v>
      </c>
      <c r="M44" s="109">
        <v>333.39</v>
      </c>
      <c r="N44" s="109">
        <v>333.39</v>
      </c>
      <c r="O44" s="109">
        <v>333.39</v>
      </c>
      <c r="P44" s="85">
        <f>SUM(D44:O44)</f>
        <v>4000.44</v>
      </c>
    </row>
    <row r="45" spans="1:16" ht="16.5">
      <c r="A45" s="91">
        <v>42306</v>
      </c>
      <c r="B45" s="72" t="s">
        <v>119</v>
      </c>
      <c r="C45" s="126" t="s">
        <v>120</v>
      </c>
      <c r="D45" s="109">
        <v>427.08</v>
      </c>
      <c r="E45" s="109">
        <v>427.08</v>
      </c>
      <c r="F45" s="109">
        <v>427.08</v>
      </c>
      <c r="G45" s="109">
        <v>427.08</v>
      </c>
      <c r="H45" s="109">
        <v>427.08</v>
      </c>
      <c r="I45" s="109">
        <v>427.08</v>
      </c>
      <c r="J45" s="109">
        <v>427.08</v>
      </c>
      <c r="K45" s="109">
        <v>427.08</v>
      </c>
      <c r="L45" s="109">
        <v>427.09</v>
      </c>
      <c r="M45" s="109">
        <v>427.09</v>
      </c>
      <c r="N45" s="109">
        <v>427.09</v>
      </c>
      <c r="O45" s="109">
        <v>427.09</v>
      </c>
      <c r="P45" s="85">
        <f>SUM(D45:O45)</f>
        <v>5125</v>
      </c>
    </row>
    <row r="46" spans="1:16" ht="16.5">
      <c r="A46" s="91">
        <v>42016</v>
      </c>
      <c r="B46" s="72" t="s">
        <v>114</v>
      </c>
      <c r="C46" s="126" t="s">
        <v>116</v>
      </c>
      <c r="D46" s="109"/>
      <c r="E46" s="88"/>
      <c r="F46" s="85"/>
      <c r="G46" s="88"/>
      <c r="H46" s="89"/>
      <c r="I46" s="86"/>
      <c r="J46" s="89"/>
      <c r="K46" s="88"/>
      <c r="L46" s="109"/>
      <c r="M46" s="109"/>
      <c r="N46" s="109"/>
      <c r="O46" s="109"/>
      <c r="P46" s="85"/>
    </row>
    <row r="47" spans="1:16" ht="16.5">
      <c r="A47" s="113" t="s">
        <v>30</v>
      </c>
      <c r="B47" s="72"/>
      <c r="C47" s="72" t="s">
        <v>194</v>
      </c>
      <c r="D47" s="73">
        <f>SUM(D44:D46)</f>
        <v>760.44</v>
      </c>
      <c r="E47" s="73">
        <f t="shared" ref="E47:L47" si="9">SUM(E44:E46)</f>
        <v>760.44</v>
      </c>
      <c r="F47" s="73">
        <f t="shared" si="9"/>
        <v>760.44</v>
      </c>
      <c r="G47" s="73">
        <f t="shared" si="9"/>
        <v>760.44</v>
      </c>
      <c r="H47" s="73">
        <f t="shared" si="9"/>
        <v>760.44</v>
      </c>
      <c r="I47" s="73">
        <f t="shared" si="9"/>
        <v>760.44</v>
      </c>
      <c r="J47" s="73">
        <f t="shared" si="9"/>
        <v>760.44</v>
      </c>
      <c r="K47" s="73">
        <f t="shared" si="9"/>
        <v>760.44</v>
      </c>
      <c r="L47" s="73">
        <f t="shared" si="9"/>
        <v>760.48</v>
      </c>
      <c r="M47" s="73">
        <f t="shared" ref="M47" si="10">SUM(M44:M46)</f>
        <v>760.48</v>
      </c>
      <c r="N47" s="73">
        <f t="shared" ref="N47:O47" si="11">SUM(N44:N46)</f>
        <v>760.48</v>
      </c>
      <c r="O47" s="73">
        <f t="shared" si="11"/>
        <v>760.48</v>
      </c>
      <c r="P47" s="85">
        <f>SUM(D47:O47)</f>
        <v>9125.4399999999987</v>
      </c>
    </row>
    <row r="48" spans="1:16" ht="16.5">
      <c r="C48" s="72" t="s">
        <v>195</v>
      </c>
      <c r="D48" s="85">
        <f>+D47</f>
        <v>760.44</v>
      </c>
      <c r="E48" s="85">
        <f>+E47+D48</f>
        <v>1520.88</v>
      </c>
      <c r="F48" s="85">
        <f t="shared" ref="F48:O48" si="12">+F47+E48</f>
        <v>2281.3200000000002</v>
      </c>
      <c r="G48" s="85">
        <f t="shared" si="12"/>
        <v>3041.76</v>
      </c>
      <c r="H48" s="85">
        <f t="shared" si="12"/>
        <v>3802.2000000000003</v>
      </c>
      <c r="I48" s="85">
        <f t="shared" si="12"/>
        <v>4562.6400000000003</v>
      </c>
      <c r="J48" s="85">
        <f t="shared" si="12"/>
        <v>5323.08</v>
      </c>
      <c r="K48" s="85">
        <f t="shared" si="12"/>
        <v>6083.52</v>
      </c>
      <c r="L48" s="85">
        <f t="shared" si="12"/>
        <v>6844</v>
      </c>
      <c r="M48" s="85">
        <f t="shared" si="12"/>
        <v>7604.48</v>
      </c>
      <c r="N48" s="85">
        <f t="shared" si="12"/>
        <v>8364.9599999999991</v>
      </c>
      <c r="O48" s="85">
        <f t="shared" si="12"/>
        <v>9125.4399999999987</v>
      </c>
      <c r="P48" s="109"/>
    </row>
  </sheetData>
  <mergeCells count="7">
    <mergeCell ref="A41:C41"/>
    <mergeCell ref="I24:J24"/>
    <mergeCell ref="A32:C32"/>
    <mergeCell ref="A3:C3"/>
    <mergeCell ref="A15:C15"/>
    <mergeCell ref="A24:C24"/>
    <mergeCell ref="F24:G24"/>
  </mergeCells>
  <pageMargins left="0.62992125984251968" right="0.35433070866141736" top="1.1417322834645669" bottom="0.74803149606299213" header="0.31496062992125984" footer="0.31496062992125984"/>
  <pageSetup paperSize="9" scale="59" orientation="landscape" horizontalDpi="360" verticalDpi="360" r:id="rId1"/>
  <headerFooter>
    <oddFooter>&amp;L&amp;D&amp;R&amp;F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3"/>
  <sheetViews>
    <sheetView topLeftCell="A43" workbookViewId="0">
      <selection activeCell="R24" sqref="R24"/>
    </sheetView>
  </sheetViews>
  <sheetFormatPr baseColWidth="10" defaultColWidth="11.42578125" defaultRowHeight="15"/>
  <cols>
    <col min="1" max="1" width="11.42578125" style="2"/>
    <col min="2" max="2" width="25.28515625" style="15" customWidth="1"/>
    <col min="3" max="3" width="11.5703125" style="23" customWidth="1"/>
    <col min="4" max="4" width="11.42578125" style="23" hidden="1" customWidth="1"/>
    <col min="5" max="5" width="14.5703125" style="23" hidden="1" customWidth="1"/>
    <col min="6" max="16" width="11.42578125" style="23" hidden="1" customWidth="1"/>
    <col min="17" max="17" width="12.85546875" style="23" customWidth="1"/>
    <col min="18" max="19" width="11.42578125" style="23"/>
    <col min="20" max="20" width="10.5703125" style="23" customWidth="1"/>
    <col min="21" max="21" width="9.42578125" style="23" customWidth="1"/>
    <col min="22" max="29" width="9.42578125" style="2" customWidth="1"/>
    <col min="30" max="30" width="11.42578125" style="2"/>
    <col min="31" max="31" width="11.7109375" style="2" customWidth="1"/>
    <col min="32" max="16384" width="11.42578125" style="2"/>
  </cols>
  <sheetData>
    <row r="1" spans="1:34" s="9" customFormat="1">
      <c r="A1" s="26" t="s">
        <v>31</v>
      </c>
      <c r="B1" s="26"/>
      <c r="C1" s="23"/>
      <c r="D1" s="23"/>
      <c r="E1" s="23"/>
      <c r="F1" s="23"/>
      <c r="G1" s="23"/>
      <c r="H1" s="23"/>
      <c r="I1" s="23"/>
      <c r="J1" s="23"/>
      <c r="K1" s="23" t="s">
        <v>30</v>
      </c>
      <c r="L1" s="23"/>
      <c r="M1" s="23"/>
      <c r="N1" s="23"/>
      <c r="O1" s="23"/>
      <c r="P1" s="23"/>
      <c r="Q1" s="23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4" s="9" customFormat="1">
      <c r="A2" s="26" t="s">
        <v>109</v>
      </c>
      <c r="B2" s="26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4" s="9" customFormat="1" ht="16.5" customHeight="1">
      <c r="A3" s="26" t="s">
        <v>207</v>
      </c>
      <c r="B3" s="26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8" t="s">
        <v>77</v>
      </c>
      <c r="S3" s="2"/>
      <c r="T3" s="8" t="s">
        <v>77</v>
      </c>
      <c r="U3" s="187" t="s">
        <v>177</v>
      </c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9"/>
    </row>
    <row r="4" spans="1:34" s="9" customFormat="1" ht="39">
      <c r="A4" s="8" t="s">
        <v>104</v>
      </c>
      <c r="B4" s="8" t="s">
        <v>103</v>
      </c>
      <c r="C4" s="18" t="s">
        <v>33</v>
      </c>
      <c r="D4" s="28" t="s">
        <v>36</v>
      </c>
      <c r="E4" s="28" t="s">
        <v>37</v>
      </c>
      <c r="F4" s="28" t="s">
        <v>38</v>
      </c>
      <c r="G4" s="28" t="s">
        <v>39</v>
      </c>
      <c r="H4" s="28" t="s">
        <v>40</v>
      </c>
      <c r="I4" s="28" t="s">
        <v>41</v>
      </c>
      <c r="J4" s="28" t="s">
        <v>42</v>
      </c>
      <c r="K4" s="28" t="s">
        <v>43</v>
      </c>
      <c r="L4" s="28" t="s">
        <v>44</v>
      </c>
      <c r="M4" s="29" t="s">
        <v>67</v>
      </c>
      <c r="N4" s="29" t="s">
        <v>55</v>
      </c>
      <c r="O4" s="8" t="s">
        <v>34</v>
      </c>
      <c r="P4" s="18" t="s">
        <v>56</v>
      </c>
      <c r="Q4" s="18" t="s">
        <v>107</v>
      </c>
      <c r="R4" s="18" t="s">
        <v>71</v>
      </c>
      <c r="S4" s="18" t="s">
        <v>147</v>
      </c>
      <c r="T4" s="18" t="s">
        <v>71</v>
      </c>
      <c r="U4" s="18" t="s">
        <v>166</v>
      </c>
      <c r="V4" s="18" t="s">
        <v>167</v>
      </c>
      <c r="W4" s="18" t="s">
        <v>168</v>
      </c>
      <c r="X4" s="18" t="s">
        <v>169</v>
      </c>
      <c r="Y4" s="18" t="s">
        <v>170</v>
      </c>
      <c r="Z4" s="18" t="s">
        <v>171</v>
      </c>
      <c r="AA4" s="18" t="s">
        <v>172</v>
      </c>
      <c r="AB4" s="18" t="s">
        <v>173</v>
      </c>
      <c r="AC4" s="18" t="s">
        <v>175</v>
      </c>
      <c r="AD4" s="18" t="s">
        <v>174</v>
      </c>
      <c r="AE4" s="18" t="s">
        <v>210</v>
      </c>
      <c r="AF4" s="18" t="s">
        <v>188</v>
      </c>
      <c r="AG4" s="18" t="s">
        <v>189</v>
      </c>
      <c r="AH4" s="18" t="s">
        <v>190</v>
      </c>
    </row>
    <row r="5" spans="1:34" s="9" customFormat="1" ht="16.5">
      <c r="A5" s="2"/>
      <c r="B5" s="15" t="s">
        <v>60</v>
      </c>
      <c r="C5" s="97">
        <f>14602.25+1135.76+360.57</f>
        <v>16098.58</v>
      </c>
      <c r="D5" s="97">
        <v>5366.19</v>
      </c>
      <c r="E5" s="97">
        <v>5366.19</v>
      </c>
      <c r="F5" s="97">
        <v>5366.2</v>
      </c>
      <c r="G5" s="98"/>
      <c r="H5" s="99"/>
      <c r="I5" s="100"/>
      <c r="J5" s="100"/>
      <c r="K5" s="100"/>
      <c r="L5" s="100"/>
      <c r="M5" s="97">
        <f t="shared" ref="M5:M11" si="0">SUM(D5:L5)</f>
        <v>16098.579999999998</v>
      </c>
      <c r="N5" s="101">
        <f t="shared" ref="N5:N11" si="1">+C5-M5</f>
        <v>0</v>
      </c>
      <c r="O5" s="101">
        <v>0</v>
      </c>
      <c r="P5" s="101">
        <f>+N5-O5</f>
        <v>0</v>
      </c>
      <c r="Q5" s="101">
        <f>+C5</f>
        <v>16098.58</v>
      </c>
      <c r="R5" s="97">
        <f>+C5-Q5</f>
        <v>0</v>
      </c>
      <c r="T5" s="97">
        <f>+R5</f>
        <v>0</v>
      </c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</row>
    <row r="6" spans="1:34" s="9" customFormat="1" ht="16.5">
      <c r="A6" s="5">
        <v>38901</v>
      </c>
      <c r="B6" s="15" t="s">
        <v>61</v>
      </c>
      <c r="C6" s="97">
        <v>2089</v>
      </c>
      <c r="D6" s="100">
        <v>348.16</v>
      </c>
      <c r="E6" s="97">
        <v>696.33</v>
      </c>
      <c r="F6" s="97">
        <v>696.33</v>
      </c>
      <c r="G6" s="97">
        <v>348.18</v>
      </c>
      <c r="H6" s="97"/>
      <c r="I6" s="97"/>
      <c r="J6" s="97"/>
      <c r="K6" s="97"/>
      <c r="L6" s="97"/>
      <c r="M6" s="97">
        <f t="shared" si="0"/>
        <v>2089</v>
      </c>
      <c r="N6" s="101">
        <f t="shared" si="1"/>
        <v>0</v>
      </c>
      <c r="O6" s="101">
        <v>0</v>
      </c>
      <c r="P6" s="101">
        <f t="shared" ref="P6:P11" si="2">+N6-O6</f>
        <v>0</v>
      </c>
      <c r="Q6" s="101">
        <f t="shared" ref="Q6:Q11" si="3">+C6</f>
        <v>2089</v>
      </c>
      <c r="R6" s="97">
        <f t="shared" ref="R6:R11" si="4">+C6-Q6</f>
        <v>0</v>
      </c>
      <c r="T6" s="97">
        <f t="shared" ref="T6:T11" si="5">+R6</f>
        <v>0</v>
      </c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</row>
    <row r="7" spans="1:34" s="9" customFormat="1" ht="16.5">
      <c r="A7" s="5">
        <v>38932</v>
      </c>
      <c r="B7" s="15" t="s">
        <v>62</v>
      </c>
      <c r="C7" s="97">
        <v>750</v>
      </c>
      <c r="D7" s="100">
        <v>104.16</v>
      </c>
      <c r="E7" s="97">
        <v>250</v>
      </c>
      <c r="F7" s="97">
        <v>250</v>
      </c>
      <c r="G7" s="97">
        <v>145.84</v>
      </c>
      <c r="H7" s="97"/>
      <c r="I7" s="97"/>
      <c r="J7" s="97"/>
      <c r="K7" s="97"/>
      <c r="L7" s="97"/>
      <c r="M7" s="97">
        <f t="shared" si="0"/>
        <v>750</v>
      </c>
      <c r="N7" s="101">
        <f t="shared" si="1"/>
        <v>0</v>
      </c>
      <c r="O7" s="101">
        <v>0</v>
      </c>
      <c r="P7" s="101">
        <f t="shared" si="2"/>
        <v>0</v>
      </c>
      <c r="Q7" s="101">
        <f t="shared" si="3"/>
        <v>750</v>
      </c>
      <c r="R7" s="97">
        <f t="shared" si="4"/>
        <v>0</v>
      </c>
      <c r="T7" s="97">
        <f t="shared" si="5"/>
        <v>0</v>
      </c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</row>
    <row r="8" spans="1:34" s="9" customFormat="1" ht="16.5">
      <c r="A8" s="5">
        <v>38944</v>
      </c>
      <c r="B8" s="15" t="s">
        <v>63</v>
      </c>
      <c r="C8" s="97">
        <v>650</v>
      </c>
      <c r="D8" s="100">
        <f>81.25-6.91</f>
        <v>74.34</v>
      </c>
      <c r="E8" s="97">
        <v>216.67</v>
      </c>
      <c r="F8" s="97">
        <v>216.67</v>
      </c>
      <c r="G8" s="97">
        <f>135.41+6.91</f>
        <v>142.32</v>
      </c>
      <c r="H8" s="97"/>
      <c r="I8" s="97"/>
      <c r="J8" s="97"/>
      <c r="K8" s="97"/>
      <c r="L8" s="97"/>
      <c r="M8" s="97">
        <f t="shared" si="0"/>
        <v>650</v>
      </c>
      <c r="N8" s="101">
        <f t="shared" si="1"/>
        <v>0</v>
      </c>
      <c r="O8" s="101">
        <v>0</v>
      </c>
      <c r="P8" s="101">
        <f t="shared" si="2"/>
        <v>0</v>
      </c>
      <c r="Q8" s="101">
        <f t="shared" si="3"/>
        <v>650</v>
      </c>
      <c r="R8" s="97">
        <f t="shared" si="4"/>
        <v>0</v>
      </c>
      <c r="T8" s="97">
        <f t="shared" si="5"/>
        <v>0</v>
      </c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</row>
    <row r="9" spans="1:34" s="9" customFormat="1" ht="16.5">
      <c r="A9" s="5">
        <v>38982</v>
      </c>
      <c r="B9" s="15" t="s">
        <v>64</v>
      </c>
      <c r="C9" s="97">
        <v>2289</v>
      </c>
      <c r="D9" s="100">
        <v>190.75</v>
      </c>
      <c r="E9" s="97">
        <v>763</v>
      </c>
      <c r="F9" s="97">
        <v>763</v>
      </c>
      <c r="G9" s="97">
        <v>572.25</v>
      </c>
      <c r="H9" s="97"/>
      <c r="I9" s="97"/>
      <c r="J9" s="97"/>
      <c r="K9" s="97"/>
      <c r="L9" s="97"/>
      <c r="M9" s="97">
        <f t="shared" si="0"/>
        <v>2289</v>
      </c>
      <c r="N9" s="101">
        <f t="shared" si="1"/>
        <v>0</v>
      </c>
      <c r="O9" s="101">
        <v>0</v>
      </c>
      <c r="P9" s="101">
        <f t="shared" si="2"/>
        <v>0</v>
      </c>
      <c r="Q9" s="101">
        <f t="shared" si="3"/>
        <v>2289</v>
      </c>
      <c r="R9" s="97">
        <f t="shared" si="4"/>
        <v>0</v>
      </c>
      <c r="T9" s="97">
        <f t="shared" si="5"/>
        <v>0</v>
      </c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</row>
    <row r="10" spans="1:34" s="9" customFormat="1" ht="16.5">
      <c r="A10" s="5">
        <v>38982</v>
      </c>
      <c r="B10" s="15" t="s">
        <v>65</v>
      </c>
      <c r="C10" s="97">
        <v>85</v>
      </c>
      <c r="D10" s="100">
        <v>7.08</v>
      </c>
      <c r="E10" s="97">
        <v>28.33</v>
      </c>
      <c r="F10" s="97">
        <v>28.33</v>
      </c>
      <c r="G10" s="97">
        <v>21.26</v>
      </c>
      <c r="H10" s="97"/>
      <c r="I10" s="97"/>
      <c r="J10" s="97"/>
      <c r="K10" s="97"/>
      <c r="L10" s="97"/>
      <c r="M10" s="97">
        <f t="shared" si="0"/>
        <v>85</v>
      </c>
      <c r="N10" s="101">
        <f t="shared" si="1"/>
        <v>0</v>
      </c>
      <c r="O10" s="101">
        <v>0</v>
      </c>
      <c r="P10" s="101">
        <f t="shared" si="2"/>
        <v>0</v>
      </c>
      <c r="Q10" s="101">
        <f t="shared" si="3"/>
        <v>85</v>
      </c>
      <c r="R10" s="97">
        <f t="shared" si="4"/>
        <v>0</v>
      </c>
      <c r="T10" s="97">
        <f t="shared" si="5"/>
        <v>0</v>
      </c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</row>
    <row r="11" spans="1:34" s="9" customFormat="1" ht="16.5">
      <c r="A11" s="5">
        <v>38986</v>
      </c>
      <c r="B11" s="15" t="s">
        <v>66</v>
      </c>
      <c r="C11" s="97">
        <v>360.57</v>
      </c>
      <c r="D11" s="100">
        <v>30.04</v>
      </c>
      <c r="E11" s="97">
        <v>120.19</v>
      </c>
      <c r="F11" s="97">
        <v>120.19</v>
      </c>
      <c r="G11" s="97">
        <v>90.15</v>
      </c>
      <c r="H11" s="97"/>
      <c r="I11" s="97"/>
      <c r="J11" s="97"/>
      <c r="K11" s="97"/>
      <c r="L11" s="97"/>
      <c r="M11" s="97">
        <f t="shared" si="0"/>
        <v>360.56999999999994</v>
      </c>
      <c r="N11" s="101">
        <f t="shared" si="1"/>
        <v>0</v>
      </c>
      <c r="O11" s="101">
        <v>0</v>
      </c>
      <c r="P11" s="101">
        <f t="shared" si="2"/>
        <v>0</v>
      </c>
      <c r="Q11" s="101">
        <f t="shared" si="3"/>
        <v>360.57</v>
      </c>
      <c r="R11" s="97">
        <f t="shared" si="4"/>
        <v>0</v>
      </c>
      <c r="T11" s="97">
        <f t="shared" si="5"/>
        <v>0</v>
      </c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</row>
    <row r="12" spans="1:34" s="9" customFormat="1" ht="16.5">
      <c r="A12" s="2"/>
      <c r="B12" s="15"/>
      <c r="C12" s="97"/>
      <c r="D12" s="100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101"/>
      <c r="P12" s="101"/>
      <c r="Q12" s="101"/>
      <c r="R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</row>
    <row r="13" spans="1:34" s="9" customFormat="1" ht="16.5">
      <c r="A13" s="5">
        <v>39416</v>
      </c>
      <c r="B13" s="15" t="s">
        <v>141</v>
      </c>
      <c r="C13" s="102">
        <v>669</v>
      </c>
      <c r="D13" s="100"/>
      <c r="E13" s="103">
        <v>18.579999999999998</v>
      </c>
      <c r="F13" s="103">
        <v>223</v>
      </c>
      <c r="G13" s="103">
        <v>223</v>
      </c>
      <c r="H13" s="103">
        <v>204.42</v>
      </c>
      <c r="I13" s="97"/>
      <c r="J13" s="97"/>
      <c r="K13" s="97"/>
      <c r="L13" s="97"/>
      <c r="M13" s="97">
        <f>SUM(E13:L13)</f>
        <v>669</v>
      </c>
      <c r="N13" s="101">
        <f>+C13-M13</f>
        <v>0</v>
      </c>
      <c r="O13" s="101">
        <v>0</v>
      </c>
      <c r="P13" s="101">
        <f>+N13-O13</f>
        <v>0</v>
      </c>
      <c r="Q13" s="101">
        <f>+C13</f>
        <v>669</v>
      </c>
      <c r="R13" s="97">
        <f>+C13-Q13</f>
        <v>0</v>
      </c>
      <c r="T13" s="97">
        <f>+R13</f>
        <v>0</v>
      </c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</row>
    <row r="14" spans="1:34" s="9" customFormat="1" ht="16.5">
      <c r="A14" s="2"/>
      <c r="B14" s="15"/>
      <c r="C14" s="100"/>
      <c r="D14" s="100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</row>
    <row r="15" spans="1:34" s="9" customFormat="1" ht="16.5">
      <c r="A15" s="5">
        <v>39525</v>
      </c>
      <c r="B15" s="15" t="s">
        <v>59</v>
      </c>
      <c r="C15" s="97">
        <v>694</v>
      </c>
      <c r="D15" s="100"/>
      <c r="E15" s="101"/>
      <c r="F15" s="101">
        <v>183.13</v>
      </c>
      <c r="G15" s="101">
        <v>231.33</v>
      </c>
      <c r="H15" s="101">
        <v>231.33</v>
      </c>
      <c r="I15" s="101">
        <v>48.21</v>
      </c>
      <c r="J15" s="101"/>
      <c r="K15" s="101"/>
      <c r="L15" s="101"/>
      <c r="M15" s="97">
        <f>SUM(E15:L15)</f>
        <v>694.00000000000011</v>
      </c>
      <c r="N15" s="101">
        <f>+C15-M15</f>
        <v>0</v>
      </c>
      <c r="O15" s="101">
        <v>0</v>
      </c>
      <c r="P15" s="101">
        <f>+N15-O15</f>
        <v>0</v>
      </c>
      <c r="Q15" s="101">
        <f>+C15</f>
        <v>694</v>
      </c>
      <c r="R15" s="97">
        <f>+C15-Q15</f>
        <v>0</v>
      </c>
      <c r="T15" s="97">
        <f t="shared" ref="T15:T51" si="6">+R15</f>
        <v>0</v>
      </c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</row>
    <row r="16" spans="1:34" s="9" customFormat="1" ht="16.5">
      <c r="A16" s="5">
        <v>39647</v>
      </c>
      <c r="B16" s="15" t="s">
        <v>142</v>
      </c>
      <c r="C16" s="97">
        <v>423</v>
      </c>
      <c r="D16" s="100"/>
      <c r="E16" s="101"/>
      <c r="F16" s="101">
        <v>64.62</v>
      </c>
      <c r="G16" s="101">
        <v>141</v>
      </c>
      <c r="H16" s="101">
        <v>141</v>
      </c>
      <c r="I16" s="101">
        <v>76.38</v>
      </c>
      <c r="J16" s="101"/>
      <c r="K16" s="101"/>
      <c r="L16" s="101"/>
      <c r="M16" s="97">
        <f>SUM(E16:L16)</f>
        <v>423</v>
      </c>
      <c r="N16" s="101">
        <f>+C16-M16</f>
        <v>0</v>
      </c>
      <c r="O16" s="101">
        <v>0</v>
      </c>
      <c r="P16" s="101">
        <f>+N16-O16</f>
        <v>0</v>
      </c>
      <c r="Q16" s="101">
        <f>+C16</f>
        <v>423</v>
      </c>
      <c r="R16" s="97">
        <f>+C16-Q16</f>
        <v>0</v>
      </c>
      <c r="T16" s="97">
        <f t="shared" si="6"/>
        <v>0</v>
      </c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</row>
    <row r="17" spans="1:32" s="9" customFormat="1" ht="16.5">
      <c r="A17" s="2"/>
      <c r="B17" s="15"/>
      <c r="C17" s="97"/>
      <c r="D17" s="100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97"/>
      <c r="S17" s="27"/>
      <c r="T17" s="2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</row>
    <row r="18" spans="1:32" s="9" customFormat="1" ht="16.5">
      <c r="A18" s="5">
        <v>40175</v>
      </c>
      <c r="B18" s="15" t="s">
        <v>58</v>
      </c>
      <c r="C18" s="94">
        <v>786.42</v>
      </c>
      <c r="D18" s="100"/>
      <c r="E18" s="101"/>
      <c r="F18" s="101"/>
      <c r="G18" s="101"/>
      <c r="H18" s="96">
        <v>262.14</v>
      </c>
      <c r="I18" s="96">
        <v>262.14</v>
      </c>
      <c r="J18" s="96">
        <v>262.14</v>
      </c>
      <c r="K18" s="101"/>
      <c r="L18" s="101"/>
      <c r="M18" s="97">
        <f>SUM(E18:L18)</f>
        <v>786.42</v>
      </c>
      <c r="N18" s="101">
        <f>+C18-M18</f>
        <v>0</v>
      </c>
      <c r="O18" s="101">
        <v>0</v>
      </c>
      <c r="P18" s="101">
        <f>+N18-O18</f>
        <v>0</v>
      </c>
      <c r="Q18" s="101">
        <f>+C18</f>
        <v>786.42</v>
      </c>
      <c r="R18" s="97">
        <f>+C18-Q18</f>
        <v>0</v>
      </c>
      <c r="S18" s="27"/>
      <c r="T18" s="97">
        <f t="shared" si="6"/>
        <v>0</v>
      </c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</row>
    <row r="19" spans="1:32" s="9" customFormat="1" ht="16.5">
      <c r="A19" s="2"/>
      <c r="B19" s="15"/>
      <c r="C19" s="98" t="s">
        <v>30</v>
      </c>
      <c r="D19" s="99" t="s">
        <v>30</v>
      </c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97"/>
      <c r="S19" s="27"/>
      <c r="T19" s="2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</row>
    <row r="20" spans="1:32" s="9" customFormat="1" ht="16.5">
      <c r="A20" s="5">
        <v>40241</v>
      </c>
      <c r="B20" s="15" t="s">
        <v>57</v>
      </c>
      <c r="C20" s="102">
        <v>1097</v>
      </c>
      <c r="D20" s="100"/>
      <c r="E20" s="101"/>
      <c r="F20" s="101"/>
      <c r="G20" s="101"/>
      <c r="H20" s="96">
        <v>304.72000000000003</v>
      </c>
      <c r="I20" s="96">
        <v>365.66</v>
      </c>
      <c r="J20" s="96">
        <v>365.66</v>
      </c>
      <c r="K20" s="96">
        <v>60.96</v>
      </c>
      <c r="L20" s="101"/>
      <c r="M20" s="97">
        <f>SUM(E20:L20)</f>
        <v>1097.0000000000002</v>
      </c>
      <c r="N20" s="101">
        <f>+C20-M20</f>
        <v>0</v>
      </c>
      <c r="O20" s="101">
        <v>0</v>
      </c>
      <c r="P20" s="101">
        <f>+N20-O20</f>
        <v>0</v>
      </c>
      <c r="Q20" s="101">
        <f>+C20</f>
        <v>1097</v>
      </c>
      <c r="R20" s="97">
        <f>+C20-Q20</f>
        <v>0</v>
      </c>
      <c r="S20" s="27"/>
      <c r="T20" s="97">
        <f t="shared" si="6"/>
        <v>0</v>
      </c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</row>
    <row r="21" spans="1:32" s="9" customFormat="1" ht="16.5">
      <c r="A21" s="2"/>
      <c r="B21" s="15"/>
      <c r="C21" s="100"/>
      <c r="D21" s="100"/>
      <c r="E21" s="100"/>
      <c r="F21" s="100"/>
      <c r="G21" s="100"/>
      <c r="H21" s="100"/>
      <c r="I21" s="100"/>
      <c r="J21" s="101"/>
      <c r="K21" s="100"/>
      <c r="L21" s="100"/>
      <c r="M21" s="100"/>
      <c r="N21" s="100"/>
      <c r="O21" s="101"/>
      <c r="P21" s="101"/>
      <c r="Q21" s="101"/>
      <c r="R21" s="97"/>
      <c r="S21" s="27"/>
      <c r="T21" s="2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</row>
    <row r="22" spans="1:32" s="9" customFormat="1" ht="16.5">
      <c r="A22" s="5">
        <v>40589</v>
      </c>
      <c r="B22" s="15" t="s">
        <v>15</v>
      </c>
      <c r="C22" s="97">
        <v>1708</v>
      </c>
      <c r="D22" s="100"/>
      <c r="E22" s="100"/>
      <c r="F22" s="100" t="s">
        <v>30</v>
      </c>
      <c r="G22" s="100"/>
      <c r="H22" s="100"/>
      <c r="I22" s="97">
        <v>494.94</v>
      </c>
      <c r="J22" s="101">
        <v>569.28</v>
      </c>
      <c r="K22" s="101">
        <v>569.28</v>
      </c>
      <c r="L22" s="101">
        <v>74.5</v>
      </c>
      <c r="M22" s="101">
        <f>SUM(I22:L22)</f>
        <v>1708</v>
      </c>
      <c r="N22" s="101">
        <f>+C22-M22</f>
        <v>0</v>
      </c>
      <c r="O22" s="101">
        <v>0</v>
      </c>
      <c r="P22" s="101">
        <f t="shared" ref="P22:P30" si="7">+N22-O22</f>
        <v>0</v>
      </c>
      <c r="Q22" s="101">
        <f t="shared" ref="Q22:Q30" si="8">+C22</f>
        <v>1708</v>
      </c>
      <c r="R22" s="97">
        <f t="shared" ref="R22:R30" si="9">+C22-Q22</f>
        <v>0</v>
      </c>
      <c r="S22" s="27"/>
      <c r="T22" s="97">
        <f t="shared" si="6"/>
        <v>0</v>
      </c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</row>
    <row r="23" spans="1:32" s="9" customFormat="1" ht="16.5">
      <c r="A23" s="5">
        <v>40591</v>
      </c>
      <c r="B23" s="15" t="s">
        <v>16</v>
      </c>
      <c r="C23" s="97">
        <v>1708</v>
      </c>
      <c r="D23" s="100"/>
      <c r="E23" s="100"/>
      <c r="F23" s="100" t="s">
        <v>30</v>
      </c>
      <c r="G23" s="100"/>
      <c r="H23" s="100"/>
      <c r="I23" s="97">
        <v>491.78</v>
      </c>
      <c r="J23" s="101">
        <v>569.28</v>
      </c>
      <c r="K23" s="101">
        <v>569.28</v>
      </c>
      <c r="L23" s="101">
        <v>77.66</v>
      </c>
      <c r="M23" s="101">
        <f t="shared" ref="M23:M30" si="10">SUM(I23:L23)</f>
        <v>1708</v>
      </c>
      <c r="N23" s="101">
        <f t="shared" ref="N23:N30" si="11">+C23-M23</f>
        <v>0</v>
      </c>
      <c r="O23" s="101">
        <v>0</v>
      </c>
      <c r="P23" s="101">
        <f t="shared" si="7"/>
        <v>0</v>
      </c>
      <c r="Q23" s="101">
        <f t="shared" si="8"/>
        <v>1708</v>
      </c>
      <c r="R23" s="97">
        <f t="shared" si="9"/>
        <v>0</v>
      </c>
      <c r="S23" s="27"/>
      <c r="T23" s="97">
        <f t="shared" si="6"/>
        <v>0</v>
      </c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</row>
    <row r="24" spans="1:32" s="9" customFormat="1" ht="16.5">
      <c r="A24" s="5">
        <v>40689</v>
      </c>
      <c r="B24" s="15" t="s">
        <v>16</v>
      </c>
      <c r="C24" s="97">
        <v>1708</v>
      </c>
      <c r="D24" s="100"/>
      <c r="E24" s="100"/>
      <c r="F24" s="100" t="s">
        <v>30</v>
      </c>
      <c r="G24" s="100"/>
      <c r="H24" s="100"/>
      <c r="I24" s="97">
        <v>332.08</v>
      </c>
      <c r="J24" s="101">
        <v>569.28</v>
      </c>
      <c r="K24" s="101">
        <v>569.28</v>
      </c>
      <c r="L24" s="101">
        <v>237.35999999999999</v>
      </c>
      <c r="M24" s="101">
        <f t="shared" si="10"/>
        <v>1707.9999999999998</v>
      </c>
      <c r="N24" s="101">
        <f t="shared" si="11"/>
        <v>0</v>
      </c>
      <c r="O24" s="101">
        <v>0</v>
      </c>
      <c r="P24" s="101">
        <f t="shared" si="7"/>
        <v>0</v>
      </c>
      <c r="Q24" s="101">
        <f t="shared" si="8"/>
        <v>1708</v>
      </c>
      <c r="R24" s="97">
        <f t="shared" si="9"/>
        <v>0</v>
      </c>
      <c r="S24" s="27"/>
      <c r="T24" s="97">
        <f t="shared" si="6"/>
        <v>0</v>
      </c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</row>
    <row r="25" spans="1:32" s="9" customFormat="1" ht="16.5">
      <c r="A25" s="5">
        <v>40709</v>
      </c>
      <c r="B25" s="15" t="s">
        <v>17</v>
      </c>
      <c r="C25" s="97">
        <v>605</v>
      </c>
      <c r="D25" s="100"/>
      <c r="E25" s="100"/>
      <c r="F25" s="100" t="s">
        <v>30</v>
      </c>
      <c r="G25" s="100"/>
      <c r="H25" s="100"/>
      <c r="I25" s="97">
        <v>109.265</v>
      </c>
      <c r="J25" s="101">
        <v>201.72</v>
      </c>
      <c r="K25" s="101">
        <v>201.72</v>
      </c>
      <c r="L25" s="101">
        <v>92.3</v>
      </c>
      <c r="M25" s="101">
        <f t="shared" si="10"/>
        <v>605.005</v>
      </c>
      <c r="N25" s="101">
        <f t="shared" si="11"/>
        <v>-4.9999999999954525E-3</v>
      </c>
      <c r="O25" s="101">
        <v>0</v>
      </c>
      <c r="P25" s="101">
        <f t="shared" si="7"/>
        <v>-4.9999999999954525E-3</v>
      </c>
      <c r="Q25" s="101">
        <f t="shared" si="8"/>
        <v>605</v>
      </c>
      <c r="R25" s="97">
        <f t="shared" si="9"/>
        <v>0</v>
      </c>
      <c r="S25" s="27"/>
      <c r="T25" s="97">
        <f t="shared" si="6"/>
        <v>0</v>
      </c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</row>
    <row r="26" spans="1:32" s="9" customFormat="1" ht="16.5">
      <c r="A26" s="5">
        <v>40716</v>
      </c>
      <c r="B26" s="15" t="s">
        <v>18</v>
      </c>
      <c r="C26" s="97">
        <v>824</v>
      </c>
      <c r="D26" s="100"/>
      <c r="E26" s="100"/>
      <c r="F26" s="100" t="s">
        <v>30</v>
      </c>
      <c r="G26" s="100"/>
      <c r="H26" s="100"/>
      <c r="I26" s="97">
        <v>143.42000000000002</v>
      </c>
      <c r="J26" s="101">
        <v>274.67999999999995</v>
      </c>
      <c r="K26" s="101">
        <v>274.67999999999995</v>
      </c>
      <c r="L26" s="101">
        <v>131.22</v>
      </c>
      <c r="M26" s="101">
        <f t="shared" si="10"/>
        <v>824</v>
      </c>
      <c r="N26" s="101">
        <f t="shared" si="11"/>
        <v>0</v>
      </c>
      <c r="O26" s="101">
        <v>0</v>
      </c>
      <c r="P26" s="101">
        <f t="shared" si="7"/>
        <v>0</v>
      </c>
      <c r="Q26" s="101">
        <f t="shared" si="8"/>
        <v>824</v>
      </c>
      <c r="R26" s="97">
        <f t="shared" si="9"/>
        <v>0</v>
      </c>
      <c r="S26" s="27"/>
      <c r="T26" s="97">
        <f t="shared" si="6"/>
        <v>0</v>
      </c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</row>
    <row r="27" spans="1:32" s="9" customFormat="1" ht="16.5">
      <c r="A27" s="5">
        <v>40724</v>
      </c>
      <c r="B27" s="15" t="s">
        <v>19</v>
      </c>
      <c r="C27" s="97">
        <v>1648</v>
      </c>
      <c r="D27" s="100"/>
      <c r="E27" s="100"/>
      <c r="F27" s="100" t="s">
        <v>30</v>
      </c>
      <c r="G27" s="100"/>
      <c r="H27" s="100"/>
      <c r="I27" s="97">
        <v>274.68</v>
      </c>
      <c r="J27" s="101">
        <v>549.3599999999999</v>
      </c>
      <c r="K27" s="101">
        <v>549.3599999999999</v>
      </c>
      <c r="L27" s="101">
        <v>274.60000000000002</v>
      </c>
      <c r="M27" s="101">
        <f t="shared" si="10"/>
        <v>1648</v>
      </c>
      <c r="N27" s="101">
        <f t="shared" si="11"/>
        <v>0</v>
      </c>
      <c r="O27" s="101">
        <v>0</v>
      </c>
      <c r="P27" s="101">
        <f t="shared" si="7"/>
        <v>0</v>
      </c>
      <c r="Q27" s="101">
        <f t="shared" si="8"/>
        <v>1648</v>
      </c>
      <c r="R27" s="97">
        <f t="shared" si="9"/>
        <v>0</v>
      </c>
      <c r="S27" s="27"/>
      <c r="T27" s="97">
        <f t="shared" si="6"/>
        <v>0</v>
      </c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</row>
    <row r="28" spans="1:32" s="9" customFormat="1" ht="16.5">
      <c r="A28" s="5">
        <v>40743</v>
      </c>
      <c r="B28" s="15" t="s">
        <v>20</v>
      </c>
      <c r="C28" s="97">
        <v>2184</v>
      </c>
      <c r="D28" s="100"/>
      <c r="E28" s="100"/>
      <c r="F28" s="100" t="s">
        <v>30</v>
      </c>
      <c r="G28" s="100"/>
      <c r="H28" s="100"/>
      <c r="I28" s="97">
        <v>325.57000000000005</v>
      </c>
      <c r="J28" s="101">
        <v>728.04</v>
      </c>
      <c r="K28" s="101">
        <v>728.04</v>
      </c>
      <c r="L28" s="101">
        <v>402.35</v>
      </c>
      <c r="M28" s="101">
        <f t="shared" si="10"/>
        <v>2184</v>
      </c>
      <c r="N28" s="101">
        <f t="shared" si="11"/>
        <v>0</v>
      </c>
      <c r="O28" s="101">
        <v>0</v>
      </c>
      <c r="P28" s="101">
        <f t="shared" si="7"/>
        <v>0</v>
      </c>
      <c r="Q28" s="101">
        <f t="shared" si="8"/>
        <v>2184</v>
      </c>
      <c r="R28" s="97">
        <f t="shared" si="9"/>
        <v>0</v>
      </c>
      <c r="S28" s="27"/>
      <c r="T28" s="97">
        <f t="shared" si="6"/>
        <v>0</v>
      </c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</row>
    <row r="29" spans="1:32" s="9" customFormat="1" ht="16.5">
      <c r="A29" s="5">
        <v>40752</v>
      </c>
      <c r="B29" s="15" t="s">
        <v>16</v>
      </c>
      <c r="C29" s="97">
        <v>1708</v>
      </c>
      <c r="D29" s="100"/>
      <c r="E29" s="100"/>
      <c r="F29" s="100" t="s">
        <v>30</v>
      </c>
      <c r="G29" s="100"/>
      <c r="H29" s="100"/>
      <c r="I29" s="97">
        <v>237.2</v>
      </c>
      <c r="J29" s="101">
        <v>569.28</v>
      </c>
      <c r="K29" s="101">
        <v>569.28</v>
      </c>
      <c r="L29" s="101">
        <v>332.24</v>
      </c>
      <c r="M29" s="101">
        <f t="shared" si="10"/>
        <v>1708</v>
      </c>
      <c r="N29" s="101">
        <f t="shared" si="11"/>
        <v>0</v>
      </c>
      <c r="O29" s="101">
        <v>0</v>
      </c>
      <c r="P29" s="101">
        <f t="shared" si="7"/>
        <v>0</v>
      </c>
      <c r="Q29" s="101">
        <f t="shared" si="8"/>
        <v>1708</v>
      </c>
      <c r="R29" s="97">
        <f t="shared" si="9"/>
        <v>0</v>
      </c>
      <c r="S29" s="27"/>
      <c r="T29" s="97">
        <f t="shared" si="6"/>
        <v>0</v>
      </c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</row>
    <row r="30" spans="1:32" s="9" customFormat="1" ht="16.5">
      <c r="A30" s="5">
        <v>40791</v>
      </c>
      <c r="B30" s="15" t="s">
        <v>20</v>
      </c>
      <c r="C30" s="97">
        <v>2049</v>
      </c>
      <c r="D30" s="100"/>
      <c r="E30" s="100"/>
      <c r="F30" s="100" t="s">
        <v>30</v>
      </c>
      <c r="G30" s="100"/>
      <c r="H30" s="100"/>
      <c r="I30" s="97">
        <v>218.26</v>
      </c>
      <c r="J30" s="101">
        <v>683.04</v>
      </c>
      <c r="K30" s="101">
        <v>683.04</v>
      </c>
      <c r="L30" s="101">
        <v>464.66000000000008</v>
      </c>
      <c r="M30" s="101">
        <f t="shared" si="10"/>
        <v>2049</v>
      </c>
      <c r="N30" s="101">
        <f t="shared" si="11"/>
        <v>0</v>
      </c>
      <c r="O30" s="101">
        <v>0</v>
      </c>
      <c r="P30" s="101">
        <f t="shared" si="7"/>
        <v>0</v>
      </c>
      <c r="Q30" s="101">
        <f t="shared" si="8"/>
        <v>2049</v>
      </c>
      <c r="R30" s="97">
        <f t="shared" si="9"/>
        <v>0</v>
      </c>
      <c r="S30" s="27"/>
      <c r="T30" s="97">
        <f t="shared" si="6"/>
        <v>0</v>
      </c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</row>
    <row r="31" spans="1:32" s="9" customFormat="1" ht="16.5">
      <c r="A31" s="5"/>
      <c r="B31" s="15"/>
      <c r="C31" s="97"/>
      <c r="D31" s="100"/>
      <c r="E31" s="100"/>
      <c r="F31" s="100" t="s">
        <v>30</v>
      </c>
      <c r="G31" s="100"/>
      <c r="H31" s="100"/>
      <c r="I31" s="100"/>
      <c r="J31" s="101"/>
      <c r="K31" s="100"/>
      <c r="L31" s="100"/>
      <c r="M31" s="100"/>
      <c r="N31" s="100"/>
      <c r="O31" s="101"/>
      <c r="P31" s="101"/>
      <c r="Q31" s="101"/>
      <c r="R31" s="97"/>
      <c r="S31" s="27"/>
      <c r="T31" s="2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</row>
    <row r="32" spans="1:32" s="9" customFormat="1" ht="16.5">
      <c r="A32" s="5">
        <v>41029</v>
      </c>
      <c r="B32" s="15" t="s">
        <v>145</v>
      </c>
      <c r="C32" s="97">
        <v>900</v>
      </c>
      <c r="D32" s="100"/>
      <c r="E32" s="100"/>
      <c r="F32" s="100"/>
      <c r="G32" s="100"/>
      <c r="H32" s="100"/>
      <c r="I32" s="100"/>
      <c r="J32" s="101">
        <v>200</v>
      </c>
      <c r="K32" s="101">
        <v>300</v>
      </c>
      <c r="L32" s="101">
        <v>300</v>
      </c>
      <c r="M32" s="101">
        <f>SUM(I32:L32)</f>
        <v>800</v>
      </c>
      <c r="N32" s="101">
        <f>+C32-M32</f>
        <v>100</v>
      </c>
      <c r="O32" s="101">
        <v>100</v>
      </c>
      <c r="P32" s="101">
        <f>+N32-O32</f>
        <v>0</v>
      </c>
      <c r="Q32" s="101">
        <f>+M32+O32</f>
        <v>900</v>
      </c>
      <c r="R32" s="97">
        <f>+C32-Q32</f>
        <v>0</v>
      </c>
      <c r="S32" s="22"/>
      <c r="T32" s="97">
        <f t="shared" si="6"/>
        <v>0</v>
      </c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</row>
    <row r="33" spans="1:32" s="9" customFormat="1" ht="16.5">
      <c r="A33" s="5">
        <v>41232</v>
      </c>
      <c r="B33" s="15" t="s">
        <v>13</v>
      </c>
      <c r="C33" s="97">
        <v>378</v>
      </c>
      <c r="D33" s="100"/>
      <c r="E33" s="100"/>
      <c r="F33" s="100"/>
      <c r="G33" s="100"/>
      <c r="H33" s="100"/>
      <c r="I33" s="100"/>
      <c r="J33" s="101">
        <v>14.35</v>
      </c>
      <c r="K33" s="101">
        <v>126</v>
      </c>
      <c r="L33" s="101">
        <v>126</v>
      </c>
      <c r="M33" s="101">
        <f>SUM(I33:L33)</f>
        <v>266.35000000000002</v>
      </c>
      <c r="N33" s="101">
        <f>+C33-M33</f>
        <v>111.64999999999998</v>
      </c>
      <c r="O33" s="101">
        <v>111.65</v>
      </c>
      <c r="P33" s="101">
        <f>+N33-O33</f>
        <v>0</v>
      </c>
      <c r="Q33" s="101">
        <f>+M33+O33</f>
        <v>378</v>
      </c>
      <c r="R33" s="97">
        <f>+C33-Q33</f>
        <v>0</v>
      </c>
      <c r="S33" s="22"/>
      <c r="T33" s="97">
        <f t="shared" si="6"/>
        <v>0</v>
      </c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</row>
    <row r="34" spans="1:32" s="9" customFormat="1" ht="16.5">
      <c r="A34" s="5">
        <v>41232</v>
      </c>
      <c r="B34" s="15" t="s">
        <v>14</v>
      </c>
      <c r="C34" s="97">
        <v>241</v>
      </c>
      <c r="D34" s="100"/>
      <c r="E34" s="100"/>
      <c r="F34" s="100"/>
      <c r="G34" s="100"/>
      <c r="H34" s="100"/>
      <c r="I34" s="100"/>
      <c r="J34" s="101">
        <v>9.11</v>
      </c>
      <c r="K34" s="101">
        <v>80.279999999999987</v>
      </c>
      <c r="L34" s="101">
        <v>80.279999999999987</v>
      </c>
      <c r="M34" s="101">
        <f>SUM(I34:L34)</f>
        <v>169.66999999999996</v>
      </c>
      <c r="N34" s="101">
        <f>+C34-M34</f>
        <v>71.330000000000041</v>
      </c>
      <c r="O34" s="101">
        <v>71.33</v>
      </c>
      <c r="P34" s="101">
        <f>+N34-O34</f>
        <v>0</v>
      </c>
      <c r="Q34" s="101">
        <f>+M34+O34</f>
        <v>240.99999999999994</v>
      </c>
      <c r="R34" s="97">
        <f>+C34-Q34</f>
        <v>0</v>
      </c>
      <c r="S34" s="22"/>
      <c r="T34" s="97">
        <f t="shared" si="6"/>
        <v>0</v>
      </c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</row>
    <row r="35" spans="1:32" s="9" customFormat="1" ht="16.5">
      <c r="A35" s="5">
        <v>41257</v>
      </c>
      <c r="B35" s="15" t="s">
        <v>143</v>
      </c>
      <c r="C35" s="97">
        <v>2178</v>
      </c>
      <c r="D35" s="100"/>
      <c r="E35" s="100"/>
      <c r="F35" s="100"/>
      <c r="G35" s="100"/>
      <c r="H35" s="100"/>
      <c r="I35" s="100"/>
      <c r="J35" s="101">
        <v>32.32</v>
      </c>
      <c r="K35" s="101">
        <v>726</v>
      </c>
      <c r="L35" s="101">
        <v>726</v>
      </c>
      <c r="M35" s="101">
        <f>SUM(I35:L35)</f>
        <v>1484.3200000000002</v>
      </c>
      <c r="N35" s="101">
        <f>+C35-M35</f>
        <v>693.67999999999984</v>
      </c>
      <c r="O35" s="101">
        <v>693.68</v>
      </c>
      <c r="P35" s="101">
        <f>+N35-O35</f>
        <v>0</v>
      </c>
      <c r="Q35" s="101">
        <f>+M35+O35</f>
        <v>2178</v>
      </c>
      <c r="R35" s="97">
        <f>+C35-Q35</f>
        <v>0</v>
      </c>
      <c r="S35" s="22"/>
      <c r="T35" s="97">
        <f t="shared" si="6"/>
        <v>0</v>
      </c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</row>
    <row r="36" spans="1:32" s="9" customFormat="1" ht="16.5">
      <c r="A36" s="5"/>
      <c r="B36" s="15"/>
      <c r="C36" s="97"/>
      <c r="D36" s="100"/>
      <c r="E36" s="100"/>
      <c r="F36" s="100"/>
      <c r="G36" s="100"/>
      <c r="H36" s="100"/>
      <c r="I36" s="100"/>
      <c r="J36" s="101" t="s">
        <v>30</v>
      </c>
      <c r="K36" s="101"/>
      <c r="L36" s="101"/>
      <c r="M36" s="100"/>
      <c r="N36" s="100"/>
      <c r="O36" s="101"/>
      <c r="P36" s="101"/>
      <c r="Q36" s="101"/>
      <c r="R36" s="94"/>
      <c r="S36" s="21"/>
      <c r="T36" s="79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</row>
    <row r="37" spans="1:32" s="9" customFormat="1" ht="16.5">
      <c r="A37" s="5">
        <v>41320</v>
      </c>
      <c r="B37" s="15" t="s">
        <v>72</v>
      </c>
      <c r="C37" s="97">
        <v>837</v>
      </c>
      <c r="D37" s="100"/>
      <c r="E37" s="100"/>
      <c r="F37" s="100"/>
      <c r="G37" s="100"/>
      <c r="H37" s="100"/>
      <c r="I37" s="100"/>
      <c r="J37" s="101" t="s">
        <v>30</v>
      </c>
      <c r="K37" s="101">
        <f>243.29+6.9</f>
        <v>250.19</v>
      </c>
      <c r="L37" s="101">
        <v>279</v>
      </c>
      <c r="M37" s="101">
        <f>SUM(I37:L37)</f>
        <v>529.19000000000005</v>
      </c>
      <c r="N37" s="101">
        <f>+C37-M37</f>
        <v>307.80999999999995</v>
      </c>
      <c r="O37" s="101">
        <v>279</v>
      </c>
      <c r="P37" s="101">
        <f>+N37-O37</f>
        <v>28.809999999999945</v>
      </c>
      <c r="Q37" s="101">
        <v>837</v>
      </c>
      <c r="R37" s="97">
        <f>+C37-Q37</f>
        <v>0</v>
      </c>
      <c r="S37" s="21"/>
      <c r="T37" s="97">
        <f t="shared" si="6"/>
        <v>0</v>
      </c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</row>
    <row r="38" spans="1:32" s="9" customFormat="1" ht="16.5">
      <c r="A38" s="5">
        <v>41327</v>
      </c>
      <c r="B38" s="15" t="s">
        <v>12</v>
      </c>
      <c r="C38" s="97">
        <v>2109</v>
      </c>
      <c r="D38" s="100"/>
      <c r="E38" s="100"/>
      <c r="F38" s="100"/>
      <c r="G38" s="100"/>
      <c r="H38" s="100"/>
      <c r="I38" s="100"/>
      <c r="J38" s="101" t="s">
        <v>30</v>
      </c>
      <c r="K38" s="101">
        <v>598.33999999999992</v>
      </c>
      <c r="L38" s="101">
        <v>702.96</v>
      </c>
      <c r="M38" s="101">
        <f>SUM(I38:L38)</f>
        <v>1301.3</v>
      </c>
      <c r="N38" s="101">
        <f>+C38-M38</f>
        <v>807.7</v>
      </c>
      <c r="O38" s="101">
        <v>702.96</v>
      </c>
      <c r="P38" s="101">
        <f>+N38-O38</f>
        <v>104.74000000000001</v>
      </c>
      <c r="Q38" s="101">
        <v>2109</v>
      </c>
      <c r="R38" s="97">
        <f>+C38-Q38</f>
        <v>0</v>
      </c>
      <c r="S38" s="21"/>
      <c r="T38" s="97">
        <f t="shared" si="6"/>
        <v>0</v>
      </c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</row>
    <row r="39" spans="1:32" s="9" customFormat="1" ht="16.5">
      <c r="A39" s="5">
        <v>41355</v>
      </c>
      <c r="B39" s="15" t="s">
        <v>140</v>
      </c>
      <c r="C39" s="97">
        <v>837</v>
      </c>
      <c r="D39" s="100"/>
      <c r="E39" s="100"/>
      <c r="F39" s="100"/>
      <c r="G39" s="100"/>
      <c r="H39" s="100"/>
      <c r="I39" s="100"/>
      <c r="J39" s="101"/>
      <c r="K39" s="101">
        <v>215.49</v>
      </c>
      <c r="L39" s="101">
        <v>279</v>
      </c>
      <c r="M39" s="101">
        <f>SUM(I39:L39)</f>
        <v>494.49</v>
      </c>
      <c r="N39" s="101">
        <f>+C39-M39</f>
        <v>342.51</v>
      </c>
      <c r="O39" s="101">
        <v>279</v>
      </c>
      <c r="P39" s="101">
        <f>+N39-O39</f>
        <v>63.509999999999991</v>
      </c>
      <c r="Q39" s="101">
        <v>837</v>
      </c>
      <c r="R39" s="97">
        <f>+C39-Q39</f>
        <v>0</v>
      </c>
      <c r="S39" s="21"/>
      <c r="T39" s="97">
        <f t="shared" si="6"/>
        <v>0</v>
      </c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</row>
    <row r="40" spans="1:32" s="9" customFormat="1" ht="16.5">
      <c r="A40" s="5">
        <v>41639</v>
      </c>
      <c r="B40" s="15" t="s">
        <v>144</v>
      </c>
      <c r="C40" s="97">
        <v>1600</v>
      </c>
      <c r="D40" s="100"/>
      <c r="E40" s="100"/>
      <c r="F40" s="100"/>
      <c r="G40" s="100"/>
      <c r="H40" s="100"/>
      <c r="I40" s="100"/>
      <c r="J40" s="101"/>
      <c r="K40" s="101">
        <v>0</v>
      </c>
      <c r="L40" s="101">
        <v>533.28</v>
      </c>
      <c r="M40" s="101">
        <f>SUM(I40:L40)</f>
        <v>533.28</v>
      </c>
      <c r="N40" s="101">
        <f>+C40-M40</f>
        <v>1066.72</v>
      </c>
      <c r="O40" s="101">
        <v>533.28</v>
      </c>
      <c r="P40" s="101">
        <f>+N40-O40</f>
        <v>533.44000000000005</v>
      </c>
      <c r="Q40" s="101">
        <v>1600</v>
      </c>
      <c r="R40" s="97">
        <f>+C40-Q40</f>
        <v>0</v>
      </c>
      <c r="S40" s="21"/>
      <c r="T40" s="97">
        <f t="shared" si="6"/>
        <v>0</v>
      </c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</row>
    <row r="41" spans="1:32" s="9" customFormat="1" ht="16.5">
      <c r="A41" s="5"/>
      <c r="B41" s="15"/>
      <c r="C41" s="97"/>
      <c r="D41" s="100"/>
      <c r="E41" s="100"/>
      <c r="F41" s="100"/>
      <c r="G41" s="100"/>
      <c r="H41" s="100"/>
      <c r="I41" s="100"/>
      <c r="J41" s="101"/>
      <c r="K41" s="101"/>
      <c r="L41" s="101"/>
      <c r="M41" s="100"/>
      <c r="N41" s="100"/>
      <c r="O41" s="101"/>
      <c r="P41" s="101"/>
      <c r="Q41" s="101"/>
      <c r="R41" s="94"/>
      <c r="S41" s="21"/>
      <c r="T41" s="22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</row>
    <row r="42" spans="1:32" s="9" customFormat="1" ht="16.5">
      <c r="A42" s="5">
        <v>41655</v>
      </c>
      <c r="B42" s="15" t="s">
        <v>139</v>
      </c>
      <c r="C42" s="101">
        <v>399</v>
      </c>
      <c r="D42" s="100"/>
      <c r="E42" s="100"/>
      <c r="F42" s="100"/>
      <c r="G42" s="100"/>
      <c r="H42" s="100"/>
      <c r="I42" s="100"/>
      <c r="J42" s="101"/>
      <c r="K42" s="100"/>
      <c r="L42" s="101">
        <v>127.27999999999999</v>
      </c>
      <c r="M42" s="101">
        <f>SUM(I42:L42)</f>
        <v>127.27999999999999</v>
      </c>
      <c r="N42" s="101">
        <f>+C42-M42</f>
        <v>271.72000000000003</v>
      </c>
      <c r="O42" s="101">
        <v>133</v>
      </c>
      <c r="P42" s="101">
        <f>+N42-O42</f>
        <v>138.72000000000003</v>
      </c>
      <c r="Q42" s="101">
        <f>393.24+5.76</f>
        <v>399</v>
      </c>
      <c r="R42" s="95">
        <f>+C42-Q42</f>
        <v>0</v>
      </c>
      <c r="S42" s="21"/>
      <c r="T42" s="97">
        <f t="shared" si="6"/>
        <v>0</v>
      </c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</row>
    <row r="43" spans="1:32" s="9" customFormat="1" ht="16.5">
      <c r="A43" s="5">
        <v>41831</v>
      </c>
      <c r="B43" s="15" t="s">
        <v>138</v>
      </c>
      <c r="C43" s="101">
        <v>950</v>
      </c>
      <c r="D43" s="100"/>
      <c r="E43" s="100"/>
      <c r="F43" s="100"/>
      <c r="G43" s="100"/>
      <c r="H43" s="100"/>
      <c r="I43" s="100"/>
      <c r="J43" s="101"/>
      <c r="K43" s="100"/>
      <c r="L43" s="101">
        <v>148.94999999999999</v>
      </c>
      <c r="M43" s="101">
        <f>SUM(I43:L43)</f>
        <v>148.94999999999999</v>
      </c>
      <c r="N43" s="101">
        <f>+C43-M43</f>
        <v>801.05</v>
      </c>
      <c r="O43" s="101">
        <v>316.67</v>
      </c>
      <c r="P43" s="101">
        <f>+N43-O43</f>
        <v>484.37999999999994</v>
      </c>
      <c r="Q43" s="101">
        <f>782.3+167.7</f>
        <v>950</v>
      </c>
      <c r="R43" s="95">
        <f>+C43-Q43</f>
        <v>0</v>
      </c>
      <c r="S43" s="21"/>
      <c r="T43" s="97">
        <f t="shared" si="6"/>
        <v>0</v>
      </c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</row>
    <row r="44" spans="1:32" s="9" customFormat="1" ht="16.5">
      <c r="A44" s="5">
        <v>41849</v>
      </c>
      <c r="B44" s="15" t="s">
        <v>11</v>
      </c>
      <c r="C44" s="101">
        <v>279</v>
      </c>
      <c r="D44" s="100"/>
      <c r="E44" s="100"/>
      <c r="F44" s="100"/>
      <c r="G44" s="100"/>
      <c r="H44" s="100"/>
      <c r="I44" s="100"/>
      <c r="J44" s="101"/>
      <c r="K44" s="100"/>
      <c r="L44" s="101">
        <v>38.75</v>
      </c>
      <c r="M44" s="101">
        <f>SUM(I44:L44)</f>
        <v>38.75</v>
      </c>
      <c r="N44" s="101">
        <f>+C44-M44</f>
        <v>240.25</v>
      </c>
      <c r="O44" s="101">
        <v>93</v>
      </c>
      <c r="P44" s="101">
        <f>+N44-O44</f>
        <v>147.25</v>
      </c>
      <c r="Q44" s="101">
        <f>224.75+54.25</f>
        <v>279</v>
      </c>
      <c r="R44" s="95">
        <f>+C44-Q44</f>
        <v>0</v>
      </c>
      <c r="S44" s="21"/>
      <c r="T44" s="97">
        <f t="shared" si="6"/>
        <v>0</v>
      </c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</row>
    <row r="45" spans="1:32" s="9" customFormat="1" ht="16.5">
      <c r="A45" s="5">
        <v>41977</v>
      </c>
      <c r="B45" s="15" t="s">
        <v>10</v>
      </c>
      <c r="C45" s="101">
        <v>420</v>
      </c>
      <c r="D45" s="100"/>
      <c r="E45" s="100"/>
      <c r="F45" s="100"/>
      <c r="G45" s="100"/>
      <c r="H45" s="100"/>
      <c r="I45" s="100"/>
      <c r="J45" s="101"/>
      <c r="K45" s="100"/>
      <c r="L45" s="101">
        <v>11.67</v>
      </c>
      <c r="M45" s="101">
        <f>SUM(I45:L45)</f>
        <v>11.67</v>
      </c>
      <c r="N45" s="101">
        <f>+C45-M45</f>
        <v>408.33</v>
      </c>
      <c r="O45" s="101">
        <v>140</v>
      </c>
      <c r="P45" s="101">
        <f>+N45-O45</f>
        <v>268.33</v>
      </c>
      <c r="Q45" s="101">
        <f>291.71+128.29</f>
        <v>420</v>
      </c>
      <c r="R45" s="95">
        <f>+C45-Q45</f>
        <v>0</v>
      </c>
      <c r="S45" s="21"/>
      <c r="T45" s="97">
        <f t="shared" si="6"/>
        <v>0</v>
      </c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</row>
    <row r="46" spans="1:32" s="9" customFormat="1" ht="16.5">
      <c r="A46" s="2"/>
      <c r="B46" s="15"/>
      <c r="C46" s="100"/>
      <c r="D46" s="100"/>
      <c r="E46" s="100"/>
      <c r="F46" s="100"/>
      <c r="G46" s="100"/>
      <c r="H46" s="100"/>
      <c r="I46" s="100"/>
      <c r="J46" s="101"/>
      <c r="K46" s="100"/>
      <c r="L46" s="100"/>
      <c r="M46" s="100"/>
      <c r="N46" s="100"/>
      <c r="O46" s="101"/>
      <c r="P46" s="101"/>
      <c r="Q46" s="101"/>
      <c r="R46" s="94"/>
      <c r="S46" s="21"/>
      <c r="T46" s="22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</row>
    <row r="47" spans="1:32" s="9" customFormat="1" ht="16.5">
      <c r="A47" s="19">
        <v>42085</v>
      </c>
      <c r="B47" s="15" t="s">
        <v>73</v>
      </c>
      <c r="C47" s="101">
        <v>870.87</v>
      </c>
      <c r="D47" s="100"/>
      <c r="E47" s="100"/>
      <c r="F47" s="100"/>
      <c r="G47" s="100"/>
      <c r="H47" s="100"/>
      <c r="I47" s="100"/>
      <c r="J47" s="101"/>
      <c r="K47" s="100"/>
      <c r="L47" s="100"/>
      <c r="M47" s="100">
        <v>0</v>
      </c>
      <c r="N47" s="100" t="s">
        <v>30</v>
      </c>
      <c r="O47" s="95">
        <v>130.59</v>
      </c>
      <c r="P47" s="95">
        <f>+C47-O47</f>
        <v>740.28</v>
      </c>
      <c r="Q47" s="101">
        <v>870.87</v>
      </c>
      <c r="R47" s="101">
        <f>+C47-Q47</f>
        <v>0</v>
      </c>
      <c r="S47" s="21"/>
      <c r="T47" s="97">
        <f t="shared" si="6"/>
        <v>0</v>
      </c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</row>
    <row r="48" spans="1:32" s="9" customFormat="1" ht="16.5">
      <c r="A48" s="2"/>
      <c r="B48" s="15"/>
      <c r="C48" s="100"/>
      <c r="D48" s="100"/>
      <c r="E48" s="100"/>
      <c r="F48" s="100"/>
      <c r="G48" s="100"/>
      <c r="H48" s="100"/>
      <c r="I48" s="100"/>
      <c r="J48" s="101"/>
      <c r="K48" s="100"/>
      <c r="L48" s="100"/>
      <c r="M48" s="100"/>
      <c r="N48" s="100"/>
      <c r="O48" s="101"/>
      <c r="P48" s="101"/>
      <c r="Q48" s="95"/>
      <c r="R48" s="95" t="s">
        <v>30</v>
      </c>
      <c r="S48" s="21"/>
      <c r="T48" s="22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</row>
    <row r="49" spans="1:37" s="9" customFormat="1" ht="16.5">
      <c r="A49" s="19">
        <v>42417</v>
      </c>
      <c r="B49" s="15" t="s">
        <v>74</v>
      </c>
      <c r="C49" s="101">
        <v>3029.46</v>
      </c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1">
        <v>3029.46</v>
      </c>
      <c r="R49" s="95">
        <f>+C49-Q49</f>
        <v>0</v>
      </c>
      <c r="S49" s="21"/>
      <c r="T49" s="97">
        <f t="shared" si="6"/>
        <v>0</v>
      </c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</row>
    <row r="50" spans="1:37" s="9" customFormat="1" ht="16.5">
      <c r="A50" s="19">
        <v>42452</v>
      </c>
      <c r="B50" s="15" t="s">
        <v>74</v>
      </c>
      <c r="C50" s="101">
        <v>2661.44</v>
      </c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1">
        <v>2661.44</v>
      </c>
      <c r="R50" s="95">
        <f>+C50-Q50</f>
        <v>0</v>
      </c>
      <c r="S50" s="21"/>
      <c r="T50" s="97">
        <f t="shared" si="6"/>
        <v>0</v>
      </c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</row>
    <row r="51" spans="1:37" s="9" customFormat="1" ht="16.5">
      <c r="A51" s="19">
        <v>42510</v>
      </c>
      <c r="B51" s="15" t="s">
        <v>74</v>
      </c>
      <c r="C51" s="101">
        <v>2648.94</v>
      </c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1">
        <v>2648.94</v>
      </c>
      <c r="R51" s="95">
        <f>+C51-Q51</f>
        <v>0</v>
      </c>
      <c r="S51" s="21"/>
      <c r="T51" s="97">
        <f t="shared" si="6"/>
        <v>0</v>
      </c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</row>
    <row r="52" spans="1:37" s="9" customFormat="1" ht="16.5">
      <c r="A52" s="2"/>
      <c r="B52" s="3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94"/>
      <c r="S52" s="21"/>
      <c r="T52" s="2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  <c r="AF52" s="97"/>
    </row>
    <row r="53" spans="1:37" s="9" customFormat="1" ht="16.5">
      <c r="A53" s="19">
        <v>42996</v>
      </c>
      <c r="B53" s="15" t="s">
        <v>75</v>
      </c>
      <c r="C53" s="95">
        <v>3445.16</v>
      </c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95">
        <v>2583.9</v>
      </c>
      <c r="R53" s="95">
        <f>+C53-Q53</f>
        <v>861.25999999999976</v>
      </c>
      <c r="S53" s="95">
        <v>861.26</v>
      </c>
      <c r="T53" s="97">
        <f>+R53-S53</f>
        <v>0</v>
      </c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  <c r="AF53" s="97"/>
    </row>
    <row r="54" spans="1:37" ht="16.5"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95"/>
      <c r="T54" s="2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"/>
      <c r="AH54" s="9"/>
      <c r="AI54" s="9"/>
      <c r="AJ54" s="9"/>
      <c r="AK54" s="9"/>
    </row>
    <row r="55" spans="1:37" ht="16.5">
      <c r="A55" s="19">
        <v>43174</v>
      </c>
      <c r="B55" s="15" t="s">
        <v>137</v>
      </c>
      <c r="C55" s="95">
        <v>2839.36</v>
      </c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1">
        <v>1656.07</v>
      </c>
      <c r="R55" s="95">
        <f>+C55-Q55</f>
        <v>1183.2900000000002</v>
      </c>
      <c r="S55" s="95">
        <v>946.4</v>
      </c>
      <c r="T55" s="97">
        <f t="shared" ref="T55:T59" si="12">+R55-S55</f>
        <v>236.89000000000021</v>
      </c>
      <c r="U55" s="97">
        <v>78.87</v>
      </c>
      <c r="V55" s="97">
        <v>78.87</v>
      </c>
      <c r="W55" s="97">
        <v>79.150000000000006</v>
      </c>
      <c r="X55" s="97"/>
      <c r="Y55" s="97"/>
      <c r="Z55" s="97"/>
      <c r="AA55" s="97"/>
      <c r="AB55" s="97"/>
      <c r="AC55" s="97" t="s">
        <v>30</v>
      </c>
      <c r="AD55" s="97">
        <f>SUM(U55:AC55)</f>
        <v>236.89000000000001</v>
      </c>
      <c r="AE55" s="97">
        <f t="shared" ref="AE55:AE56" si="13">+T55-AD55</f>
        <v>0</v>
      </c>
      <c r="AF55" s="97"/>
      <c r="AG55" s="9"/>
      <c r="AH55" s="9"/>
      <c r="AI55" s="97">
        <f>+AD55+AF55+AG55+AH55</f>
        <v>236.89000000000001</v>
      </c>
      <c r="AJ55" s="97">
        <f>+T55-AI55</f>
        <v>0</v>
      </c>
    </row>
    <row r="56" spans="1:37" ht="16.5">
      <c r="A56" s="19">
        <v>43362</v>
      </c>
      <c r="B56" s="15" t="s">
        <v>96</v>
      </c>
      <c r="C56" s="95">
        <v>2418.39</v>
      </c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1">
        <v>1007.7</v>
      </c>
      <c r="R56" s="95">
        <f>+C56-Q56</f>
        <v>1410.6899999999998</v>
      </c>
      <c r="S56" s="95">
        <v>806.13</v>
      </c>
      <c r="T56" s="97">
        <f t="shared" si="12"/>
        <v>604.55999999999983</v>
      </c>
      <c r="U56" s="97">
        <v>67.8</v>
      </c>
      <c r="V56" s="97">
        <v>67.8</v>
      </c>
      <c r="W56" s="97">
        <v>67.8</v>
      </c>
      <c r="X56" s="97">
        <v>67.8</v>
      </c>
      <c r="Y56" s="97">
        <v>67.8</v>
      </c>
      <c r="Z56" s="97">
        <v>67.8</v>
      </c>
      <c r="AA56" s="97">
        <v>67.8</v>
      </c>
      <c r="AB56" s="97">
        <v>67.8</v>
      </c>
      <c r="AC56" s="97">
        <v>62.16</v>
      </c>
      <c r="AD56" s="97">
        <f>SUM(U56:AC56)</f>
        <v>604.55999999999995</v>
      </c>
      <c r="AE56" s="97">
        <f t="shared" si="13"/>
        <v>0</v>
      </c>
      <c r="AF56" s="97"/>
      <c r="AG56" s="9"/>
      <c r="AH56" s="9"/>
      <c r="AI56" s="97">
        <f t="shared" ref="AI56:AI62" si="14">+AD56+AF56+AG56+AH56</f>
        <v>604.55999999999995</v>
      </c>
      <c r="AJ56" s="97">
        <f t="shared" ref="AJ56:AJ62" si="15">+T56-AI56</f>
        <v>0</v>
      </c>
    </row>
    <row r="57" spans="1:37" ht="16.5">
      <c r="A57" s="19">
        <v>43388</v>
      </c>
      <c r="B57" s="15" t="s">
        <v>97</v>
      </c>
      <c r="C57" s="95">
        <v>2344</v>
      </c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1">
        <v>976.66</v>
      </c>
      <c r="R57" s="95">
        <f>+C57-Q57</f>
        <v>1367.3400000000001</v>
      </c>
      <c r="S57" s="95">
        <v>781.33</v>
      </c>
      <c r="T57" s="97">
        <f t="shared" si="12"/>
        <v>586.0100000000001</v>
      </c>
      <c r="U57" s="97">
        <v>65.11</v>
      </c>
      <c r="V57" s="97">
        <v>65.11</v>
      </c>
      <c r="W57" s="97">
        <v>0</v>
      </c>
      <c r="X57" s="97">
        <v>65.11</v>
      </c>
      <c r="Y57" s="97">
        <v>65.11</v>
      </c>
      <c r="Z57" s="97">
        <v>65.11</v>
      </c>
      <c r="AA57" s="97">
        <v>65.11</v>
      </c>
      <c r="AB57" s="97">
        <v>65.11</v>
      </c>
      <c r="AC57" s="97">
        <v>65.11</v>
      </c>
      <c r="AD57" s="97">
        <f>SUM(U57:AC57)</f>
        <v>520.88</v>
      </c>
      <c r="AE57" s="97">
        <f>+T57-AD57</f>
        <v>65.130000000000109</v>
      </c>
      <c r="AF57" s="97">
        <v>65.13</v>
      </c>
      <c r="AG57" s="102">
        <v>0</v>
      </c>
      <c r="AH57" s="102">
        <v>0</v>
      </c>
      <c r="AI57" s="97">
        <f t="shared" si="14"/>
        <v>586.01</v>
      </c>
      <c r="AJ57" s="97">
        <f t="shared" si="15"/>
        <v>0</v>
      </c>
    </row>
    <row r="58" spans="1:37" ht="16.5">
      <c r="A58" s="19">
        <v>43389</v>
      </c>
      <c r="B58" s="15" t="s">
        <v>98</v>
      </c>
      <c r="C58" s="95">
        <v>4588</v>
      </c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1">
        <v>1911.6</v>
      </c>
      <c r="R58" s="95">
        <f>+C58-Q58</f>
        <v>2676.4</v>
      </c>
      <c r="S58" s="95">
        <v>1529.33</v>
      </c>
      <c r="T58" s="97">
        <f t="shared" si="12"/>
        <v>1147.0700000000002</v>
      </c>
      <c r="U58" s="97">
        <v>127.44</v>
      </c>
      <c r="V58" s="97">
        <v>127.44</v>
      </c>
      <c r="W58" s="97">
        <v>127.44</v>
      </c>
      <c r="X58" s="97">
        <v>127.44</v>
      </c>
      <c r="Y58" s="97">
        <v>127.44</v>
      </c>
      <c r="Z58" s="97">
        <v>127.44</v>
      </c>
      <c r="AA58" s="97">
        <v>127.44</v>
      </c>
      <c r="AB58" s="97">
        <v>127.44</v>
      </c>
      <c r="AC58" s="97">
        <v>127.55</v>
      </c>
      <c r="AD58" s="97">
        <f>SUM(U58:AC58)</f>
        <v>1147.0700000000002</v>
      </c>
      <c r="AE58" s="97">
        <f>+T58-AD58</f>
        <v>0</v>
      </c>
      <c r="AF58" s="97"/>
      <c r="AG58" s="9"/>
      <c r="AH58" s="9"/>
      <c r="AI58" s="97">
        <f t="shared" si="14"/>
        <v>1147.0700000000002</v>
      </c>
      <c r="AJ58" s="97">
        <f t="shared" si="15"/>
        <v>0</v>
      </c>
    </row>
    <row r="59" spans="1:37" ht="16.5">
      <c r="A59" s="19">
        <v>43435</v>
      </c>
      <c r="B59" s="15" t="s">
        <v>100</v>
      </c>
      <c r="C59" s="95">
        <v>3865</v>
      </c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1">
        <v>1288.33</v>
      </c>
      <c r="R59" s="95">
        <f>+C59-Q59</f>
        <v>2576.67</v>
      </c>
      <c r="S59" s="95">
        <v>1288.33</v>
      </c>
      <c r="T59" s="97">
        <f t="shared" si="12"/>
        <v>1288.3400000000001</v>
      </c>
      <c r="U59" s="97">
        <v>107.36</v>
      </c>
      <c r="V59" s="97">
        <v>107.36</v>
      </c>
      <c r="W59" s="97">
        <v>107.36</v>
      </c>
      <c r="X59" s="97">
        <v>107.36</v>
      </c>
      <c r="Y59" s="97">
        <v>107.36</v>
      </c>
      <c r="Z59" s="97">
        <v>107.36</v>
      </c>
      <c r="AA59" s="97">
        <v>107.36</v>
      </c>
      <c r="AB59" s="97">
        <v>107.36</v>
      </c>
      <c r="AC59" s="97">
        <v>107.36</v>
      </c>
      <c r="AD59" s="97">
        <f>SUM(U59:AC59)</f>
        <v>966.24</v>
      </c>
      <c r="AE59" s="97">
        <f>+T59-AD59</f>
        <v>322.10000000000014</v>
      </c>
      <c r="AF59" s="97">
        <v>107.36</v>
      </c>
      <c r="AG59" s="102">
        <v>107.36</v>
      </c>
      <c r="AH59" s="102">
        <v>107.38</v>
      </c>
      <c r="AI59" s="97">
        <f t="shared" si="14"/>
        <v>1288.3399999999997</v>
      </c>
      <c r="AJ59" s="97">
        <f t="shared" si="15"/>
        <v>0</v>
      </c>
    </row>
    <row r="60" spans="1:37" ht="16.5">
      <c r="A60" s="81" t="s">
        <v>30</v>
      </c>
      <c r="B60" s="30"/>
      <c r="C60" s="95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95"/>
      <c r="T60" s="2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"/>
      <c r="AH60" s="9"/>
      <c r="AI60" s="97" t="s">
        <v>30</v>
      </c>
      <c r="AJ60" s="97" t="s">
        <v>30</v>
      </c>
    </row>
    <row r="61" spans="1:37" ht="16.5">
      <c r="A61" s="19">
        <v>43684</v>
      </c>
      <c r="B61" s="15" t="s">
        <v>101</v>
      </c>
      <c r="C61" s="95">
        <v>2190</v>
      </c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>
        <v>243.33</v>
      </c>
      <c r="R61" s="95">
        <f t="shared" ref="R61:R62" si="16">+C61-Q61</f>
        <v>1946.67</v>
      </c>
      <c r="S61" s="95">
        <v>730</v>
      </c>
      <c r="T61" s="97">
        <f t="shared" ref="T61:T62" si="17">+R61-S61</f>
        <v>1216.67</v>
      </c>
      <c r="U61" s="97">
        <v>60.83</v>
      </c>
      <c r="V61" s="97">
        <v>60.83</v>
      </c>
      <c r="W61" s="97">
        <v>60.83</v>
      </c>
      <c r="X61" s="97">
        <v>60.83</v>
      </c>
      <c r="Y61" s="97">
        <v>60.83</v>
      </c>
      <c r="Z61" s="97">
        <v>60.83</v>
      </c>
      <c r="AA61" s="97">
        <v>60.83</v>
      </c>
      <c r="AB61" s="97">
        <v>60.83</v>
      </c>
      <c r="AC61" s="97">
        <v>60.83</v>
      </c>
      <c r="AD61" s="97">
        <f t="shared" ref="AD61:AD62" si="18">SUM(U61:AC61)</f>
        <v>547.46999999999991</v>
      </c>
      <c r="AE61" s="97">
        <f t="shared" ref="AE61:AE62" si="19">+T61-AD61</f>
        <v>669.20000000000016</v>
      </c>
      <c r="AF61" s="97">
        <v>60.83</v>
      </c>
      <c r="AG61" s="97">
        <v>60.83</v>
      </c>
      <c r="AH61" s="97">
        <v>60.83</v>
      </c>
      <c r="AI61" s="97">
        <f t="shared" si="14"/>
        <v>729.96</v>
      </c>
      <c r="AJ61" s="97">
        <f t="shared" si="15"/>
        <v>486.71000000000004</v>
      </c>
    </row>
    <row r="62" spans="1:37" s="9" customFormat="1" ht="16.5">
      <c r="A62" s="93">
        <v>43794</v>
      </c>
      <c r="B62" s="15" t="s">
        <v>106</v>
      </c>
      <c r="C62" s="95">
        <v>2079</v>
      </c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5">
        <v>0</v>
      </c>
      <c r="R62" s="95">
        <f t="shared" si="16"/>
        <v>2079</v>
      </c>
      <c r="S62" s="95">
        <v>693</v>
      </c>
      <c r="T62" s="97">
        <f t="shared" si="17"/>
        <v>1386</v>
      </c>
      <c r="U62" s="97">
        <v>57.75</v>
      </c>
      <c r="V62" s="97">
        <v>57.75</v>
      </c>
      <c r="W62" s="97">
        <v>57.75</v>
      </c>
      <c r="X62" s="97">
        <v>57.75</v>
      </c>
      <c r="Y62" s="97">
        <v>57.75</v>
      </c>
      <c r="Z62" s="97">
        <v>57.75</v>
      </c>
      <c r="AA62" s="97">
        <v>57.75</v>
      </c>
      <c r="AB62" s="97">
        <v>57.75</v>
      </c>
      <c r="AC62" s="97">
        <v>57.75</v>
      </c>
      <c r="AD62" s="97">
        <f t="shared" si="18"/>
        <v>519.75</v>
      </c>
      <c r="AE62" s="97">
        <f t="shared" si="19"/>
        <v>866.25</v>
      </c>
      <c r="AF62" s="97">
        <v>57.75</v>
      </c>
      <c r="AG62" s="97">
        <v>57.75</v>
      </c>
      <c r="AH62" s="97">
        <v>57.75</v>
      </c>
      <c r="AI62" s="97">
        <f t="shared" si="14"/>
        <v>693</v>
      </c>
      <c r="AJ62" s="97">
        <f t="shared" si="15"/>
        <v>693</v>
      </c>
    </row>
    <row r="63" spans="1:37" s="9" customFormat="1" ht="16.5">
      <c r="B63" s="17"/>
      <c r="C63" s="156">
        <f>SUM(C5:C62)</f>
        <v>84241.19</v>
      </c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  <c r="Q63" s="156">
        <f t="shared" ref="Q63:T63" si="20">SUM(Q5:Q62)</f>
        <v>70139.870000000024</v>
      </c>
      <c r="R63" s="156">
        <f t="shared" si="20"/>
        <v>14101.32</v>
      </c>
      <c r="S63" s="156">
        <f t="shared" si="20"/>
        <v>7635.78</v>
      </c>
      <c r="T63" s="156">
        <f t="shared" si="20"/>
        <v>6465.5400000000009</v>
      </c>
      <c r="U63" s="158">
        <f>SUM(U55:U62)</f>
        <v>565.16000000000008</v>
      </c>
      <c r="V63" s="158">
        <f t="shared" ref="V63:AJ63" si="21">SUM(V55:V62)</f>
        <v>565.16000000000008</v>
      </c>
      <c r="W63" s="158">
        <f t="shared" si="21"/>
        <v>500.33</v>
      </c>
      <c r="X63" s="158">
        <f t="shared" si="21"/>
        <v>486.29</v>
      </c>
      <c r="Y63" s="158">
        <f t="shared" si="21"/>
        <v>486.29</v>
      </c>
      <c r="Z63" s="158">
        <f t="shared" si="21"/>
        <v>486.29</v>
      </c>
      <c r="AA63" s="158">
        <f t="shared" si="21"/>
        <v>486.29</v>
      </c>
      <c r="AB63" s="158">
        <f t="shared" si="21"/>
        <v>486.29</v>
      </c>
      <c r="AC63" s="158">
        <f t="shared" si="21"/>
        <v>480.76</v>
      </c>
      <c r="AD63" s="158">
        <f t="shared" si="21"/>
        <v>4542.8600000000006</v>
      </c>
      <c r="AE63" s="158">
        <f t="shared" si="21"/>
        <v>1922.6800000000003</v>
      </c>
      <c r="AF63" s="158">
        <f t="shared" si="21"/>
        <v>291.07</v>
      </c>
      <c r="AG63" s="158">
        <f t="shared" si="21"/>
        <v>225.94</v>
      </c>
      <c r="AH63" s="158">
        <f t="shared" si="21"/>
        <v>225.95999999999998</v>
      </c>
      <c r="AI63" s="158">
        <f t="shared" si="21"/>
        <v>5285.83</v>
      </c>
      <c r="AJ63" s="158">
        <f t="shared" si="21"/>
        <v>1179.71</v>
      </c>
    </row>
    <row r="64" spans="1:37" s="9" customFormat="1" ht="16.5">
      <c r="B64" s="17"/>
      <c r="C64" s="95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5"/>
      <c r="R64" s="95" t="s">
        <v>30</v>
      </c>
      <c r="S64" s="95"/>
      <c r="T64" s="95" t="s">
        <v>30</v>
      </c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s="9" customFormat="1" ht="16.5">
      <c r="A65" s="93">
        <v>44468</v>
      </c>
      <c r="B65" s="17" t="s">
        <v>208</v>
      </c>
      <c r="C65" s="95">
        <v>658.88</v>
      </c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5">
        <v>0</v>
      </c>
      <c r="R65" s="95">
        <f>+C65-Q65</f>
        <v>658.88</v>
      </c>
      <c r="S65" s="95">
        <v>0</v>
      </c>
      <c r="T65" s="97">
        <f t="shared" ref="T65" si="22">+R65-S65</f>
        <v>658.88</v>
      </c>
      <c r="U65" s="102"/>
      <c r="V65" s="102"/>
      <c r="W65" s="102"/>
      <c r="X65" s="102"/>
      <c r="Y65" s="102"/>
      <c r="Z65" s="102"/>
      <c r="AA65" s="102"/>
      <c r="AB65" s="102"/>
      <c r="AC65" s="102"/>
      <c r="AD65" s="97">
        <f>SUM(U65:AC65)</f>
        <v>0</v>
      </c>
      <c r="AE65" s="102"/>
      <c r="AF65" s="102">
        <v>18.3</v>
      </c>
      <c r="AG65" s="102">
        <v>18.3</v>
      </c>
      <c r="AH65" s="102">
        <v>18.3</v>
      </c>
      <c r="AI65" s="97">
        <f t="shared" ref="AI65:AI66" si="23">+AD65+AF65+AG65+AH65</f>
        <v>54.900000000000006</v>
      </c>
      <c r="AJ65" s="97">
        <f t="shared" ref="AJ65:AJ66" si="24">+T65-AI65</f>
        <v>603.98</v>
      </c>
    </row>
    <row r="66" spans="1:36" s="9" customFormat="1" ht="16.5">
      <c r="A66" s="93">
        <v>44539</v>
      </c>
      <c r="B66" s="17" t="s">
        <v>209</v>
      </c>
      <c r="C66" s="95">
        <v>1270.94</v>
      </c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5">
        <v>0</v>
      </c>
      <c r="R66" s="95">
        <f>+C66-Q66</f>
        <v>1270.94</v>
      </c>
      <c r="S66" s="95">
        <v>0</v>
      </c>
      <c r="T66" s="97">
        <f t="shared" ref="T66" si="25">+R66-S66</f>
        <v>1270.94</v>
      </c>
      <c r="U66" s="102"/>
      <c r="V66" s="102"/>
      <c r="W66" s="102"/>
      <c r="X66" s="102"/>
      <c r="Y66" s="102"/>
      <c r="Z66" s="102"/>
      <c r="AA66" s="102"/>
      <c r="AB66" s="102"/>
      <c r="AC66" s="102"/>
      <c r="AD66" s="97">
        <f t="shared" ref="AD66" si="26">SUM(U66:AC66)</f>
        <v>0</v>
      </c>
      <c r="AE66" s="102"/>
      <c r="AF66" s="102">
        <v>0</v>
      </c>
      <c r="AG66" s="102">
        <v>0</v>
      </c>
      <c r="AH66" s="102">
        <v>0</v>
      </c>
      <c r="AI66" s="97">
        <f t="shared" si="23"/>
        <v>0</v>
      </c>
      <c r="AJ66" s="97">
        <f t="shared" si="24"/>
        <v>1270.94</v>
      </c>
    </row>
    <row r="67" spans="1:36" s="9" customFormat="1" ht="16.5">
      <c r="B67" s="17"/>
      <c r="C67" s="156">
        <f>SUM(C63:C66)</f>
        <v>86171.010000000009</v>
      </c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  <c r="Q67" s="156">
        <f t="shared" ref="Q67:T67" si="27">SUM(Q63:Q66)</f>
        <v>70139.870000000024</v>
      </c>
      <c r="R67" s="156">
        <f t="shared" si="27"/>
        <v>16031.14</v>
      </c>
      <c r="S67" s="156">
        <f t="shared" si="27"/>
        <v>7635.78</v>
      </c>
      <c r="T67" s="156">
        <f t="shared" si="27"/>
        <v>8395.36</v>
      </c>
      <c r="U67" s="156">
        <f t="shared" ref="U67" si="28">SUM(U63:U66)</f>
        <v>565.16000000000008</v>
      </c>
      <c r="V67" s="156">
        <f t="shared" ref="V67" si="29">SUM(V63:V66)</f>
        <v>565.16000000000008</v>
      </c>
      <c r="W67" s="156">
        <f t="shared" ref="W67" si="30">SUM(W63:W66)</f>
        <v>500.33</v>
      </c>
      <c r="X67" s="156">
        <f t="shared" ref="X67" si="31">SUM(X63:X66)</f>
        <v>486.29</v>
      </c>
      <c r="Y67" s="156">
        <f t="shared" ref="Y67" si="32">SUM(Y63:Y66)</f>
        <v>486.29</v>
      </c>
      <c r="Z67" s="156">
        <f t="shared" ref="Z67" si="33">SUM(Z63:Z66)</f>
        <v>486.29</v>
      </c>
      <c r="AA67" s="156">
        <f t="shared" ref="AA67" si="34">SUM(AA63:AA66)</f>
        <v>486.29</v>
      </c>
      <c r="AB67" s="156">
        <f t="shared" ref="AB67" si="35">SUM(AB63:AB66)</f>
        <v>486.29</v>
      </c>
      <c r="AC67" s="156">
        <f t="shared" ref="AC67" si="36">SUM(AC63:AC66)</f>
        <v>480.76</v>
      </c>
      <c r="AD67" s="156">
        <f t="shared" ref="AD67" si="37">SUM(AD63:AD66)</f>
        <v>4542.8600000000006</v>
      </c>
      <c r="AE67" s="156">
        <f t="shared" ref="AE67" si="38">SUM(AE63:AE66)</f>
        <v>1922.6800000000003</v>
      </c>
      <c r="AF67" s="156">
        <f t="shared" ref="AF67" si="39">SUM(AF63:AF66)</f>
        <v>309.37</v>
      </c>
      <c r="AG67" s="156">
        <f t="shared" ref="AG67" si="40">SUM(AG63:AG66)</f>
        <v>244.24</v>
      </c>
      <c r="AH67" s="156">
        <f t="shared" ref="AH67" si="41">SUM(AH63:AH66)</f>
        <v>244.26</v>
      </c>
      <c r="AI67" s="156">
        <f t="shared" ref="AI67" si="42">SUM(AI63:AI66)</f>
        <v>5340.73</v>
      </c>
      <c r="AJ67" s="156">
        <f t="shared" ref="AJ67" si="43">SUM(AJ63:AJ66)</f>
        <v>3054.63</v>
      </c>
    </row>
    <row r="68" spans="1:36" s="9" customFormat="1" ht="16.5">
      <c r="B68" s="17"/>
      <c r="C68" s="95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5"/>
      <c r="R68" s="95" t="s">
        <v>30</v>
      </c>
      <c r="S68" s="95"/>
      <c r="T68" s="95" t="s">
        <v>30</v>
      </c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</row>
    <row r="69" spans="1:36" s="9" customFormat="1" ht="17.25" thickBot="1">
      <c r="C69" s="31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95"/>
      <c r="T69" s="22"/>
      <c r="U69" s="18" t="s">
        <v>166</v>
      </c>
      <c r="V69" s="18" t="s">
        <v>167</v>
      </c>
      <c r="W69" s="18" t="s">
        <v>168</v>
      </c>
      <c r="X69" s="18" t="s">
        <v>169</v>
      </c>
      <c r="Y69" s="18" t="s">
        <v>170</v>
      </c>
      <c r="Z69" s="18" t="s">
        <v>171</v>
      </c>
      <c r="AA69" s="18" t="s">
        <v>172</v>
      </c>
      <c r="AB69" s="18" t="s">
        <v>173</v>
      </c>
      <c r="AC69" s="18" t="s">
        <v>175</v>
      </c>
      <c r="AD69" s="18" t="s">
        <v>174</v>
      </c>
      <c r="AE69" s="18" t="s">
        <v>176</v>
      </c>
      <c r="AF69" s="150" t="s">
        <v>188</v>
      </c>
      <c r="AG69" s="150" t="s">
        <v>189</v>
      </c>
      <c r="AH69" s="150" t="s">
        <v>190</v>
      </c>
      <c r="AI69" s="18" t="s">
        <v>174</v>
      </c>
      <c r="AJ69" s="18" t="s">
        <v>176</v>
      </c>
    </row>
    <row r="70" spans="1:36" s="9" customFormat="1" ht="15.75" thickBot="1">
      <c r="C70" s="83" t="s">
        <v>202</v>
      </c>
      <c r="D70" s="155"/>
      <c r="E70" s="155"/>
      <c r="F70" s="155"/>
      <c r="G70" s="155"/>
      <c r="H70" s="155"/>
      <c r="I70" s="155"/>
      <c r="J70" s="155"/>
      <c r="K70" s="155"/>
      <c r="L70" s="155"/>
      <c r="M70" s="155"/>
      <c r="N70" s="155"/>
      <c r="O70" s="155"/>
      <c r="P70" s="155"/>
      <c r="Q70" s="83" t="s">
        <v>202</v>
      </c>
      <c r="R70" s="27"/>
      <c r="S70" s="27"/>
      <c r="T70" s="22"/>
      <c r="U70" s="184" t="s">
        <v>177</v>
      </c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85"/>
      <c r="AH70" s="186"/>
    </row>
    <row r="71" spans="1:36" s="9" customFormat="1" ht="16.5">
      <c r="B71" s="152" t="s">
        <v>196</v>
      </c>
      <c r="C71" s="154" t="s">
        <v>197</v>
      </c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55"/>
      <c r="O71" s="155"/>
      <c r="P71" s="155"/>
      <c r="Q71" s="154" t="s">
        <v>201</v>
      </c>
      <c r="R71" s="22"/>
      <c r="S71" s="22"/>
      <c r="T71" s="22"/>
      <c r="U71" s="97">
        <f>+$T$67-U63</f>
        <v>7830.2000000000007</v>
      </c>
      <c r="V71" s="97">
        <f>+U71-V67</f>
        <v>7265.0400000000009</v>
      </c>
      <c r="W71" s="97">
        <f t="shared" ref="W71:AC71" si="44">+V71-W67</f>
        <v>6764.7100000000009</v>
      </c>
      <c r="X71" s="97">
        <f t="shared" si="44"/>
        <v>6278.420000000001</v>
      </c>
      <c r="Y71" s="97">
        <f t="shared" si="44"/>
        <v>5792.130000000001</v>
      </c>
      <c r="Z71" s="97">
        <f t="shared" si="44"/>
        <v>5305.8400000000011</v>
      </c>
      <c r="AA71" s="97">
        <f t="shared" si="44"/>
        <v>4819.5500000000011</v>
      </c>
      <c r="AB71" s="97">
        <f t="shared" si="44"/>
        <v>4333.2600000000011</v>
      </c>
      <c r="AC71" s="97">
        <f t="shared" si="44"/>
        <v>3852.5000000000009</v>
      </c>
      <c r="AD71" s="97"/>
      <c r="AE71" s="97"/>
      <c r="AF71" s="97">
        <f>+AC71-AF67</f>
        <v>3543.130000000001</v>
      </c>
      <c r="AG71" s="97">
        <f>+AF71-AG67</f>
        <v>3298.8900000000012</v>
      </c>
      <c r="AH71" s="97">
        <f>+AG71-AH67</f>
        <v>3054.630000000001</v>
      </c>
      <c r="AI71" s="11" t="s">
        <v>30</v>
      </c>
    </row>
    <row r="72" spans="1:36" s="9" customFormat="1" ht="16.5">
      <c r="B72" s="153" t="s">
        <v>198</v>
      </c>
      <c r="C72" s="101">
        <v>70139.87</v>
      </c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101">
        <f>+C72</f>
        <v>70139.87</v>
      </c>
      <c r="R72" s="101"/>
      <c r="S72" s="27"/>
      <c r="T72" s="2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J72" s="9" t="s">
        <v>30</v>
      </c>
    </row>
    <row r="73" spans="1:36" s="9" customFormat="1" ht="16.5">
      <c r="B73" s="153" t="s">
        <v>199</v>
      </c>
      <c r="C73" s="101">
        <v>7635.78</v>
      </c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101">
        <f>+Q72+C73</f>
        <v>77775.649999999994</v>
      </c>
      <c r="R73" s="101"/>
      <c r="S73" s="27"/>
      <c r="T73" s="2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  <c r="AF73" s="97"/>
    </row>
    <row r="74" spans="1:36" s="9" customFormat="1" ht="16.5">
      <c r="B74" s="153" t="s">
        <v>200</v>
      </c>
      <c r="C74" s="101">
        <v>5340.73</v>
      </c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101">
        <f>+Q73+C74</f>
        <v>83116.37999999999</v>
      </c>
      <c r="R74" s="101"/>
      <c r="S74" s="27"/>
      <c r="T74" s="2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  <c r="AF74" s="97"/>
    </row>
    <row r="75" spans="1:36" s="9" customFormat="1" ht="16.5">
      <c r="B75" s="17"/>
      <c r="C75" s="153"/>
      <c r="F75" s="75"/>
      <c r="G75" s="75"/>
      <c r="H75" s="75"/>
      <c r="I75" s="75"/>
      <c r="J75" s="75"/>
      <c r="K75" s="75"/>
      <c r="L75" s="27"/>
      <c r="M75" s="27"/>
      <c r="N75" s="27"/>
      <c r="O75" s="27"/>
      <c r="P75" s="27"/>
      <c r="Q75" s="101"/>
      <c r="R75" s="101"/>
      <c r="S75" s="75"/>
      <c r="T75" s="75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  <c r="AF75" s="97"/>
    </row>
    <row r="76" spans="1:36" s="9" customFormat="1" ht="16.5">
      <c r="B76" s="17"/>
      <c r="F76" s="11"/>
      <c r="G76" s="11"/>
      <c r="H76" s="11"/>
      <c r="I76" s="11"/>
      <c r="J76" s="11"/>
      <c r="K76" s="11"/>
      <c r="L76" s="27"/>
      <c r="M76" s="27"/>
      <c r="N76" s="27"/>
      <c r="O76" s="27"/>
      <c r="P76" s="27"/>
      <c r="Q76" s="101"/>
      <c r="R76" s="101"/>
      <c r="S76" s="11"/>
      <c r="T76" s="11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  <c r="AF76" s="97"/>
    </row>
    <row r="77" spans="1:36" s="9" customFormat="1" ht="16.5">
      <c r="B77" s="17"/>
      <c r="F77" s="11"/>
      <c r="G77" s="11"/>
      <c r="H77" s="11"/>
      <c r="I77" s="11"/>
      <c r="J77" s="11"/>
      <c r="K77" s="11"/>
      <c r="L77" s="27"/>
      <c r="M77" s="27"/>
      <c r="N77" s="27"/>
      <c r="O77" s="27"/>
      <c r="P77" s="27"/>
      <c r="Q77" s="101"/>
      <c r="R77" s="101"/>
      <c r="S77" s="11"/>
      <c r="T77" s="11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</row>
    <row r="78" spans="1:36" s="9" customFormat="1" ht="16.5">
      <c r="B78" s="17"/>
      <c r="L78" s="27"/>
      <c r="M78" s="27"/>
      <c r="N78" s="27"/>
      <c r="O78" s="27"/>
      <c r="P78" s="27"/>
      <c r="Q78" s="101"/>
      <c r="R78" s="101"/>
      <c r="S78" s="27"/>
      <c r="T78" s="2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</row>
    <row r="79" spans="1:36" s="9" customFormat="1">
      <c r="B79" s="1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5" spans="1:36">
      <c r="A85" s="26" t="s">
        <v>31</v>
      </c>
      <c r="B85" s="26"/>
      <c r="K85" s="23" t="s">
        <v>30</v>
      </c>
      <c r="R85" s="2"/>
      <c r="S85" s="2"/>
      <c r="T85" s="2"/>
      <c r="U85" s="2"/>
      <c r="AG85" s="9"/>
      <c r="AH85" s="9"/>
      <c r="AI85" s="9"/>
      <c r="AJ85" s="9"/>
    </row>
    <row r="86" spans="1:36" ht="15.75" thickBot="1">
      <c r="A86" s="26" t="s">
        <v>109</v>
      </c>
      <c r="B86" s="26"/>
      <c r="R86" s="2"/>
      <c r="S86" s="2"/>
      <c r="T86" s="2"/>
      <c r="U86" s="2"/>
      <c r="AG86" s="9"/>
      <c r="AH86" s="9"/>
      <c r="AI86" s="9"/>
      <c r="AJ86" s="9"/>
    </row>
    <row r="87" spans="1:36" ht="15.75" thickBot="1">
      <c r="A87" s="26" t="s">
        <v>178</v>
      </c>
      <c r="B87" s="26"/>
      <c r="R87" s="8" t="s">
        <v>77</v>
      </c>
      <c r="S87" s="2"/>
      <c r="T87" s="8" t="s">
        <v>77</v>
      </c>
      <c r="U87" s="184" t="s">
        <v>177</v>
      </c>
      <c r="V87" s="185"/>
      <c r="W87" s="185"/>
      <c r="X87" s="185"/>
      <c r="Y87" s="185"/>
      <c r="Z87" s="185"/>
      <c r="AA87" s="185"/>
      <c r="AB87" s="185"/>
      <c r="AC87" s="185"/>
      <c r="AD87" s="186"/>
      <c r="AG87" s="9"/>
      <c r="AH87" s="9"/>
      <c r="AI87" s="9"/>
      <c r="AJ87" s="9"/>
    </row>
    <row r="88" spans="1:36" ht="39">
      <c r="A88" s="8" t="s">
        <v>104</v>
      </c>
      <c r="B88" s="8" t="s">
        <v>103</v>
      </c>
      <c r="C88" s="18" t="s">
        <v>33</v>
      </c>
      <c r="D88" s="28" t="s">
        <v>36</v>
      </c>
      <c r="E88" s="28" t="s">
        <v>37</v>
      </c>
      <c r="F88" s="28" t="s">
        <v>38</v>
      </c>
      <c r="G88" s="28" t="s">
        <v>39</v>
      </c>
      <c r="H88" s="28" t="s">
        <v>40</v>
      </c>
      <c r="I88" s="28" t="s">
        <v>41</v>
      </c>
      <c r="J88" s="28" t="s">
        <v>42</v>
      </c>
      <c r="K88" s="28" t="s">
        <v>43</v>
      </c>
      <c r="L88" s="28" t="s">
        <v>44</v>
      </c>
      <c r="M88" s="29" t="s">
        <v>67</v>
      </c>
      <c r="N88" s="29" t="s">
        <v>55</v>
      </c>
      <c r="O88" s="8" t="s">
        <v>34</v>
      </c>
      <c r="P88" s="18" t="s">
        <v>56</v>
      </c>
      <c r="Q88" s="18" t="s">
        <v>107</v>
      </c>
      <c r="R88" s="18" t="s">
        <v>71</v>
      </c>
      <c r="S88" s="18" t="s">
        <v>147</v>
      </c>
      <c r="T88" s="18" t="s">
        <v>71</v>
      </c>
      <c r="U88" s="18" t="s">
        <v>166</v>
      </c>
      <c r="V88" s="18" t="s">
        <v>167</v>
      </c>
      <c r="W88" s="18" t="s">
        <v>168</v>
      </c>
      <c r="X88" s="18" t="s">
        <v>169</v>
      </c>
      <c r="Y88" s="18" t="s">
        <v>170</v>
      </c>
      <c r="Z88" s="18" t="s">
        <v>171</v>
      </c>
      <c r="AA88" s="18" t="s">
        <v>172</v>
      </c>
      <c r="AB88" s="18" t="s">
        <v>173</v>
      </c>
      <c r="AC88" s="18" t="s">
        <v>175</v>
      </c>
      <c r="AD88" s="18" t="s">
        <v>174</v>
      </c>
      <c r="AG88" s="9"/>
      <c r="AH88" s="9"/>
      <c r="AI88" s="9"/>
      <c r="AJ88" s="9"/>
    </row>
    <row r="89" spans="1:36" ht="16.5">
      <c r="B89" s="15" t="s">
        <v>60</v>
      </c>
      <c r="C89" s="97">
        <f>14602.25+1135.76+360.57</f>
        <v>16098.58</v>
      </c>
      <c r="D89" s="97">
        <v>5366.19</v>
      </c>
      <c r="E89" s="97">
        <v>5366.19</v>
      </c>
      <c r="F89" s="97">
        <v>5366.2</v>
      </c>
      <c r="G89" s="98"/>
      <c r="H89" s="99"/>
      <c r="I89" s="100"/>
      <c r="J89" s="100"/>
      <c r="K89" s="100"/>
      <c r="L89" s="100"/>
      <c r="M89" s="97">
        <f t="shared" ref="M89:M95" si="45">SUM(D89:L89)</f>
        <v>16098.579999999998</v>
      </c>
      <c r="N89" s="101">
        <f t="shared" ref="N89:N95" si="46">+C89-M89</f>
        <v>0</v>
      </c>
      <c r="O89" s="101">
        <v>0</v>
      </c>
      <c r="P89" s="101">
        <f>+N89-O89</f>
        <v>0</v>
      </c>
      <c r="Q89" s="101">
        <f>+C89</f>
        <v>16098.58</v>
      </c>
      <c r="R89" s="97">
        <f>+C89-Q89</f>
        <v>0</v>
      </c>
      <c r="S89" s="9"/>
      <c r="T89" s="97">
        <f>+R89</f>
        <v>0</v>
      </c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"/>
      <c r="AH89" s="9"/>
      <c r="AI89" s="9"/>
      <c r="AJ89" s="9"/>
    </row>
    <row r="90" spans="1:36" ht="16.5">
      <c r="A90" s="5">
        <v>38901</v>
      </c>
      <c r="B90" s="15" t="s">
        <v>61</v>
      </c>
      <c r="C90" s="97">
        <v>2089</v>
      </c>
      <c r="D90" s="100">
        <v>348.16</v>
      </c>
      <c r="E90" s="97">
        <v>696.33</v>
      </c>
      <c r="F90" s="97">
        <v>696.33</v>
      </c>
      <c r="G90" s="97">
        <v>348.18</v>
      </c>
      <c r="H90" s="97"/>
      <c r="I90" s="97"/>
      <c r="J90" s="97"/>
      <c r="K90" s="97"/>
      <c r="L90" s="97"/>
      <c r="M90" s="97">
        <f t="shared" si="45"/>
        <v>2089</v>
      </c>
      <c r="N90" s="101">
        <f t="shared" si="46"/>
        <v>0</v>
      </c>
      <c r="O90" s="101">
        <v>0</v>
      </c>
      <c r="P90" s="101">
        <f t="shared" ref="P90:P95" si="47">+N90-O90</f>
        <v>0</v>
      </c>
      <c r="Q90" s="101">
        <f t="shared" ref="Q90:Q95" si="48">+C90</f>
        <v>2089</v>
      </c>
      <c r="R90" s="97">
        <f t="shared" ref="R90:R95" si="49">+C90-Q90</f>
        <v>0</v>
      </c>
      <c r="S90" s="9"/>
      <c r="T90" s="97">
        <f t="shared" ref="T90:T95" si="50">+R90</f>
        <v>0</v>
      </c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  <c r="AF90" s="97"/>
      <c r="AG90" s="9"/>
      <c r="AH90" s="9"/>
      <c r="AI90" s="9"/>
      <c r="AJ90" s="9"/>
    </row>
    <row r="91" spans="1:36" ht="16.5">
      <c r="A91" s="5">
        <v>38932</v>
      </c>
      <c r="B91" s="15" t="s">
        <v>62</v>
      </c>
      <c r="C91" s="97">
        <v>750</v>
      </c>
      <c r="D91" s="100">
        <v>104.16</v>
      </c>
      <c r="E91" s="97">
        <v>250</v>
      </c>
      <c r="F91" s="97">
        <v>250</v>
      </c>
      <c r="G91" s="97">
        <v>145.84</v>
      </c>
      <c r="H91" s="97"/>
      <c r="I91" s="97"/>
      <c r="J91" s="97"/>
      <c r="K91" s="97"/>
      <c r="L91" s="97"/>
      <c r="M91" s="97">
        <f t="shared" si="45"/>
        <v>750</v>
      </c>
      <c r="N91" s="101">
        <f t="shared" si="46"/>
        <v>0</v>
      </c>
      <c r="O91" s="101">
        <v>0</v>
      </c>
      <c r="P91" s="101">
        <f t="shared" si="47"/>
        <v>0</v>
      </c>
      <c r="Q91" s="101">
        <f t="shared" si="48"/>
        <v>750</v>
      </c>
      <c r="R91" s="97">
        <f t="shared" si="49"/>
        <v>0</v>
      </c>
      <c r="S91" s="9"/>
      <c r="T91" s="97">
        <f t="shared" si="50"/>
        <v>0</v>
      </c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  <c r="AF91" s="97"/>
      <c r="AG91" s="9"/>
      <c r="AH91" s="9"/>
      <c r="AI91" s="9"/>
      <c r="AJ91" s="9"/>
    </row>
    <row r="92" spans="1:36" ht="16.5">
      <c r="A92" s="5">
        <v>38944</v>
      </c>
      <c r="B92" s="15" t="s">
        <v>63</v>
      </c>
      <c r="C92" s="97">
        <v>650</v>
      </c>
      <c r="D92" s="100">
        <f>81.25-6.91</f>
        <v>74.34</v>
      </c>
      <c r="E92" s="97">
        <v>216.67</v>
      </c>
      <c r="F92" s="97">
        <v>216.67</v>
      </c>
      <c r="G92" s="97">
        <f>135.41+6.91</f>
        <v>142.32</v>
      </c>
      <c r="H92" s="97"/>
      <c r="I92" s="97"/>
      <c r="J92" s="97"/>
      <c r="K92" s="97"/>
      <c r="L92" s="97"/>
      <c r="M92" s="97">
        <f t="shared" si="45"/>
        <v>650</v>
      </c>
      <c r="N92" s="101">
        <f t="shared" si="46"/>
        <v>0</v>
      </c>
      <c r="O92" s="101">
        <v>0</v>
      </c>
      <c r="P92" s="101">
        <f t="shared" si="47"/>
        <v>0</v>
      </c>
      <c r="Q92" s="101">
        <f t="shared" si="48"/>
        <v>650</v>
      </c>
      <c r="R92" s="97">
        <f t="shared" si="49"/>
        <v>0</v>
      </c>
      <c r="S92" s="9"/>
      <c r="T92" s="97">
        <f t="shared" si="50"/>
        <v>0</v>
      </c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  <c r="AF92" s="97"/>
      <c r="AG92" s="9"/>
      <c r="AH92" s="9"/>
      <c r="AI92" s="9"/>
      <c r="AJ92" s="9"/>
    </row>
    <row r="93" spans="1:36" ht="16.5">
      <c r="A93" s="5">
        <v>38982</v>
      </c>
      <c r="B93" s="15" t="s">
        <v>64</v>
      </c>
      <c r="C93" s="97">
        <v>2289</v>
      </c>
      <c r="D93" s="100">
        <v>190.75</v>
      </c>
      <c r="E93" s="97">
        <v>763</v>
      </c>
      <c r="F93" s="97">
        <v>763</v>
      </c>
      <c r="G93" s="97">
        <v>572.25</v>
      </c>
      <c r="H93" s="97"/>
      <c r="I93" s="97"/>
      <c r="J93" s="97"/>
      <c r="K93" s="97"/>
      <c r="L93" s="97"/>
      <c r="M93" s="97">
        <f t="shared" si="45"/>
        <v>2289</v>
      </c>
      <c r="N93" s="101">
        <f t="shared" si="46"/>
        <v>0</v>
      </c>
      <c r="O93" s="101">
        <v>0</v>
      </c>
      <c r="P93" s="101">
        <f t="shared" si="47"/>
        <v>0</v>
      </c>
      <c r="Q93" s="101">
        <f t="shared" si="48"/>
        <v>2289</v>
      </c>
      <c r="R93" s="97">
        <f t="shared" si="49"/>
        <v>0</v>
      </c>
      <c r="S93" s="9"/>
      <c r="T93" s="97">
        <f t="shared" si="50"/>
        <v>0</v>
      </c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"/>
      <c r="AH93" s="9"/>
      <c r="AI93" s="9"/>
      <c r="AJ93" s="9"/>
    </row>
    <row r="94" spans="1:36" ht="16.5">
      <c r="A94" s="5">
        <v>38982</v>
      </c>
      <c r="B94" s="15" t="s">
        <v>65</v>
      </c>
      <c r="C94" s="97">
        <v>85</v>
      </c>
      <c r="D94" s="100">
        <v>7.08</v>
      </c>
      <c r="E94" s="97">
        <v>28.33</v>
      </c>
      <c r="F94" s="97">
        <v>28.33</v>
      </c>
      <c r="G94" s="97">
        <v>21.26</v>
      </c>
      <c r="H94" s="97"/>
      <c r="I94" s="97"/>
      <c r="J94" s="97"/>
      <c r="K94" s="97"/>
      <c r="L94" s="97"/>
      <c r="M94" s="97">
        <f t="shared" si="45"/>
        <v>85</v>
      </c>
      <c r="N94" s="101">
        <f t="shared" si="46"/>
        <v>0</v>
      </c>
      <c r="O94" s="101">
        <v>0</v>
      </c>
      <c r="P94" s="101">
        <f t="shared" si="47"/>
        <v>0</v>
      </c>
      <c r="Q94" s="101">
        <f t="shared" si="48"/>
        <v>85</v>
      </c>
      <c r="R94" s="97">
        <f t="shared" si="49"/>
        <v>0</v>
      </c>
      <c r="S94" s="9"/>
      <c r="T94" s="97">
        <f t="shared" si="50"/>
        <v>0</v>
      </c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"/>
      <c r="AH94" s="9"/>
      <c r="AI94" s="9"/>
      <c r="AJ94" s="9"/>
    </row>
    <row r="95" spans="1:36" ht="16.5">
      <c r="A95" s="5">
        <v>38986</v>
      </c>
      <c r="B95" s="15" t="s">
        <v>66</v>
      </c>
      <c r="C95" s="97">
        <v>360.57</v>
      </c>
      <c r="D95" s="100">
        <v>30.04</v>
      </c>
      <c r="E95" s="97">
        <v>120.19</v>
      </c>
      <c r="F95" s="97">
        <v>120.19</v>
      </c>
      <c r="G95" s="97">
        <v>90.15</v>
      </c>
      <c r="H95" s="97"/>
      <c r="I95" s="97"/>
      <c r="J95" s="97"/>
      <c r="K95" s="97"/>
      <c r="L95" s="97"/>
      <c r="M95" s="97">
        <f t="shared" si="45"/>
        <v>360.56999999999994</v>
      </c>
      <c r="N95" s="101">
        <f t="shared" si="46"/>
        <v>0</v>
      </c>
      <c r="O95" s="101">
        <v>0</v>
      </c>
      <c r="P95" s="101">
        <f t="shared" si="47"/>
        <v>0</v>
      </c>
      <c r="Q95" s="101">
        <f t="shared" si="48"/>
        <v>360.57</v>
      </c>
      <c r="R95" s="97">
        <f t="shared" si="49"/>
        <v>0</v>
      </c>
      <c r="S95" s="9"/>
      <c r="T95" s="97">
        <f t="shared" si="50"/>
        <v>0</v>
      </c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  <c r="AF95" s="97"/>
      <c r="AG95" s="9"/>
      <c r="AH95" s="9"/>
      <c r="AI95" s="9"/>
      <c r="AJ95" s="9"/>
    </row>
    <row r="96" spans="1:36" ht="16.5">
      <c r="C96" s="97"/>
      <c r="D96" s="100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101"/>
      <c r="P96" s="101"/>
      <c r="Q96" s="101"/>
      <c r="R96" s="97"/>
      <c r="S96" s="9"/>
      <c r="T96" s="9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"/>
      <c r="AH96" s="9"/>
      <c r="AI96" s="9"/>
      <c r="AJ96" s="9"/>
    </row>
    <row r="97" spans="1:36" ht="16.5">
      <c r="A97" s="5">
        <v>39416</v>
      </c>
      <c r="B97" s="15" t="s">
        <v>141</v>
      </c>
      <c r="C97" s="102">
        <v>669</v>
      </c>
      <c r="D97" s="100"/>
      <c r="E97" s="103">
        <v>18.579999999999998</v>
      </c>
      <c r="F97" s="103">
        <v>223</v>
      </c>
      <c r="G97" s="103">
        <v>223</v>
      </c>
      <c r="H97" s="103">
        <v>204.42</v>
      </c>
      <c r="I97" s="97"/>
      <c r="J97" s="97"/>
      <c r="K97" s="97"/>
      <c r="L97" s="97"/>
      <c r="M97" s="97">
        <f>SUM(E97:L97)</f>
        <v>669</v>
      </c>
      <c r="N97" s="101">
        <f>+C97-M97</f>
        <v>0</v>
      </c>
      <c r="O97" s="101">
        <v>0</v>
      </c>
      <c r="P97" s="101">
        <f>+N97-O97</f>
        <v>0</v>
      </c>
      <c r="Q97" s="101">
        <f>+C97</f>
        <v>669</v>
      </c>
      <c r="R97" s="97">
        <f>+C97-Q97</f>
        <v>0</v>
      </c>
      <c r="S97" s="9"/>
      <c r="T97" s="97">
        <f>+R97</f>
        <v>0</v>
      </c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  <c r="AF97" s="97"/>
      <c r="AG97" s="9"/>
      <c r="AH97" s="9"/>
      <c r="AI97" s="9"/>
      <c r="AJ97" s="9"/>
    </row>
    <row r="98" spans="1:36" ht="16.5">
      <c r="C98" s="100"/>
      <c r="D98" s="100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97"/>
      <c r="S98" s="9"/>
      <c r="T98" s="9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  <c r="AF98" s="97"/>
      <c r="AG98" s="9"/>
      <c r="AH98" s="9"/>
      <c r="AI98" s="9"/>
      <c r="AJ98" s="9"/>
    </row>
    <row r="99" spans="1:36" ht="16.5">
      <c r="A99" s="5">
        <v>39525</v>
      </c>
      <c r="B99" s="15" t="s">
        <v>59</v>
      </c>
      <c r="C99" s="97">
        <v>694</v>
      </c>
      <c r="D99" s="100"/>
      <c r="E99" s="101"/>
      <c r="F99" s="101">
        <v>183.13</v>
      </c>
      <c r="G99" s="101">
        <v>231.33</v>
      </c>
      <c r="H99" s="101">
        <v>231.33</v>
      </c>
      <c r="I99" s="101">
        <v>48.21</v>
      </c>
      <c r="J99" s="101"/>
      <c r="K99" s="101"/>
      <c r="L99" s="101"/>
      <c r="M99" s="97">
        <f>SUM(E99:L99)</f>
        <v>694.00000000000011</v>
      </c>
      <c r="N99" s="101">
        <f>+C99-M99</f>
        <v>0</v>
      </c>
      <c r="O99" s="101">
        <v>0</v>
      </c>
      <c r="P99" s="101">
        <f>+N99-O99</f>
        <v>0</v>
      </c>
      <c r="Q99" s="101">
        <f>+C99</f>
        <v>694</v>
      </c>
      <c r="R99" s="97">
        <f>+C99-Q99</f>
        <v>0</v>
      </c>
      <c r="S99" s="9"/>
      <c r="T99" s="97">
        <f t="shared" ref="T99:T100" si="51">+R99</f>
        <v>0</v>
      </c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"/>
      <c r="AH99" s="9"/>
      <c r="AI99" s="9"/>
      <c r="AJ99" s="9"/>
    </row>
    <row r="100" spans="1:36" ht="16.5">
      <c r="A100" s="5">
        <v>39647</v>
      </c>
      <c r="B100" s="15" t="s">
        <v>142</v>
      </c>
      <c r="C100" s="97">
        <v>423</v>
      </c>
      <c r="D100" s="100"/>
      <c r="E100" s="101"/>
      <c r="F100" s="101">
        <v>64.62</v>
      </c>
      <c r="G100" s="101">
        <v>141</v>
      </c>
      <c r="H100" s="101">
        <v>141</v>
      </c>
      <c r="I100" s="101">
        <v>76.38</v>
      </c>
      <c r="J100" s="101"/>
      <c r="K100" s="101"/>
      <c r="L100" s="101"/>
      <c r="M100" s="97">
        <f>SUM(E100:L100)</f>
        <v>423</v>
      </c>
      <c r="N100" s="101">
        <f>+C100-M100</f>
        <v>0</v>
      </c>
      <c r="O100" s="101">
        <v>0</v>
      </c>
      <c r="P100" s="101">
        <f>+N100-O100</f>
        <v>0</v>
      </c>
      <c r="Q100" s="101">
        <f>+C100</f>
        <v>423</v>
      </c>
      <c r="R100" s="97">
        <f>+C100-Q100</f>
        <v>0</v>
      </c>
      <c r="S100" s="9"/>
      <c r="T100" s="97">
        <f t="shared" si="51"/>
        <v>0</v>
      </c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"/>
      <c r="AH100" s="9"/>
      <c r="AI100" s="9"/>
      <c r="AJ100" s="9"/>
    </row>
    <row r="101" spans="1:36" ht="16.5">
      <c r="C101" s="97"/>
      <c r="D101" s="100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97"/>
      <c r="S101" s="27"/>
      <c r="T101" s="2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"/>
      <c r="AH101" s="9"/>
      <c r="AI101" s="9"/>
      <c r="AJ101" s="9"/>
    </row>
    <row r="102" spans="1:36" ht="16.5">
      <c r="A102" s="5">
        <v>40175</v>
      </c>
      <c r="B102" s="15" t="s">
        <v>58</v>
      </c>
      <c r="C102" s="94">
        <v>786.42</v>
      </c>
      <c r="D102" s="100"/>
      <c r="E102" s="101"/>
      <c r="F102" s="101"/>
      <c r="G102" s="101"/>
      <c r="H102" s="96">
        <v>262.14</v>
      </c>
      <c r="I102" s="96">
        <v>262.14</v>
      </c>
      <c r="J102" s="96">
        <v>262.14</v>
      </c>
      <c r="K102" s="101"/>
      <c r="L102" s="101"/>
      <c r="M102" s="97">
        <f>SUM(E102:L102)</f>
        <v>786.42</v>
      </c>
      <c r="N102" s="101">
        <f>+C102-M102</f>
        <v>0</v>
      </c>
      <c r="O102" s="101">
        <v>0</v>
      </c>
      <c r="P102" s="101">
        <f>+N102-O102</f>
        <v>0</v>
      </c>
      <c r="Q102" s="101">
        <f>+C102</f>
        <v>786.42</v>
      </c>
      <c r="R102" s="97">
        <f>+C102-Q102</f>
        <v>0</v>
      </c>
      <c r="S102" s="27"/>
      <c r="T102" s="97">
        <f t="shared" ref="T102" si="52">+R102</f>
        <v>0</v>
      </c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"/>
      <c r="AH102" s="9"/>
      <c r="AI102" s="9"/>
      <c r="AJ102" s="9"/>
    </row>
    <row r="103" spans="1:36" ht="16.5">
      <c r="C103" s="98" t="s">
        <v>30</v>
      </c>
      <c r="D103" s="99" t="s">
        <v>30</v>
      </c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97"/>
      <c r="S103" s="27"/>
      <c r="T103" s="2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  <c r="AF103" s="97"/>
      <c r="AG103" s="9"/>
      <c r="AH103" s="9"/>
      <c r="AI103" s="9"/>
      <c r="AJ103" s="9"/>
    </row>
    <row r="104" spans="1:36" ht="16.5">
      <c r="A104" s="5">
        <v>40241</v>
      </c>
      <c r="B104" s="15" t="s">
        <v>57</v>
      </c>
      <c r="C104" s="102">
        <v>1097</v>
      </c>
      <c r="D104" s="100"/>
      <c r="E104" s="101"/>
      <c r="F104" s="101"/>
      <c r="G104" s="101"/>
      <c r="H104" s="96">
        <v>304.72000000000003</v>
      </c>
      <c r="I104" s="96">
        <v>365.66</v>
      </c>
      <c r="J104" s="96">
        <v>365.66</v>
      </c>
      <c r="K104" s="96">
        <v>60.96</v>
      </c>
      <c r="L104" s="101"/>
      <c r="M104" s="97">
        <f>SUM(E104:L104)</f>
        <v>1097.0000000000002</v>
      </c>
      <c r="N104" s="101">
        <f>+C104-M104</f>
        <v>0</v>
      </c>
      <c r="O104" s="101">
        <v>0</v>
      </c>
      <c r="P104" s="101">
        <f>+N104-O104</f>
        <v>0</v>
      </c>
      <c r="Q104" s="101">
        <f>+C104</f>
        <v>1097</v>
      </c>
      <c r="R104" s="97">
        <f>+C104-Q104</f>
        <v>0</v>
      </c>
      <c r="S104" s="27"/>
      <c r="T104" s="97">
        <f t="shared" ref="T104" si="53">+R104</f>
        <v>0</v>
      </c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  <c r="AF104" s="97"/>
      <c r="AG104" s="9"/>
      <c r="AH104" s="9"/>
      <c r="AI104" s="9"/>
      <c r="AJ104" s="9"/>
    </row>
    <row r="105" spans="1:36" ht="16.5">
      <c r="C105" s="100"/>
      <c r="D105" s="100"/>
      <c r="E105" s="100"/>
      <c r="F105" s="100"/>
      <c r="G105" s="100"/>
      <c r="H105" s="100"/>
      <c r="I105" s="100"/>
      <c r="J105" s="101"/>
      <c r="K105" s="100"/>
      <c r="L105" s="100"/>
      <c r="M105" s="100"/>
      <c r="N105" s="100"/>
      <c r="O105" s="101"/>
      <c r="P105" s="101"/>
      <c r="Q105" s="101"/>
      <c r="R105" s="97"/>
      <c r="S105" s="27"/>
      <c r="T105" s="2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  <c r="AF105" s="97"/>
      <c r="AG105" s="9"/>
      <c r="AH105" s="9"/>
      <c r="AI105" s="9"/>
      <c r="AJ105" s="9"/>
    </row>
    <row r="106" spans="1:36" ht="16.5">
      <c r="A106" s="5">
        <v>40589</v>
      </c>
      <c r="B106" s="15" t="s">
        <v>15</v>
      </c>
      <c r="C106" s="97">
        <v>1708</v>
      </c>
      <c r="D106" s="100"/>
      <c r="E106" s="100"/>
      <c r="F106" s="100" t="s">
        <v>30</v>
      </c>
      <c r="G106" s="100"/>
      <c r="H106" s="100"/>
      <c r="I106" s="97">
        <v>494.94</v>
      </c>
      <c r="J106" s="101">
        <v>569.28</v>
      </c>
      <c r="K106" s="101">
        <v>569.28</v>
      </c>
      <c r="L106" s="101">
        <v>74.5</v>
      </c>
      <c r="M106" s="101">
        <f>SUM(I106:L106)</f>
        <v>1708</v>
      </c>
      <c r="N106" s="101">
        <f>+C106-M106</f>
        <v>0</v>
      </c>
      <c r="O106" s="101">
        <v>0</v>
      </c>
      <c r="P106" s="101">
        <f t="shared" ref="P106:P114" si="54">+N106-O106</f>
        <v>0</v>
      </c>
      <c r="Q106" s="101">
        <f t="shared" ref="Q106:Q114" si="55">+C106</f>
        <v>1708</v>
      </c>
      <c r="R106" s="97">
        <f t="shared" ref="R106:R114" si="56">+C106-Q106</f>
        <v>0</v>
      </c>
      <c r="S106" s="27"/>
      <c r="T106" s="97">
        <f t="shared" ref="T106:T114" si="57">+R106</f>
        <v>0</v>
      </c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  <c r="AF106" s="97"/>
      <c r="AG106" s="9"/>
      <c r="AH106" s="9"/>
      <c r="AI106" s="9"/>
      <c r="AJ106" s="9"/>
    </row>
    <row r="107" spans="1:36" ht="16.5">
      <c r="A107" s="5">
        <v>40591</v>
      </c>
      <c r="B107" s="15" t="s">
        <v>16</v>
      </c>
      <c r="C107" s="97">
        <v>1708</v>
      </c>
      <c r="D107" s="100"/>
      <c r="E107" s="100"/>
      <c r="F107" s="100" t="s">
        <v>30</v>
      </c>
      <c r="G107" s="100"/>
      <c r="H107" s="100"/>
      <c r="I107" s="97">
        <v>491.78</v>
      </c>
      <c r="J107" s="101">
        <v>569.28</v>
      </c>
      <c r="K107" s="101">
        <v>569.28</v>
      </c>
      <c r="L107" s="101">
        <v>77.66</v>
      </c>
      <c r="M107" s="101">
        <f t="shared" ref="M107:M114" si="58">SUM(I107:L107)</f>
        <v>1708</v>
      </c>
      <c r="N107" s="101">
        <f t="shared" ref="N107:N114" si="59">+C107-M107</f>
        <v>0</v>
      </c>
      <c r="O107" s="101">
        <v>0</v>
      </c>
      <c r="P107" s="101">
        <f t="shared" si="54"/>
        <v>0</v>
      </c>
      <c r="Q107" s="101">
        <f t="shared" si="55"/>
        <v>1708</v>
      </c>
      <c r="R107" s="97">
        <f t="shared" si="56"/>
        <v>0</v>
      </c>
      <c r="S107" s="27"/>
      <c r="T107" s="97">
        <f t="shared" si="57"/>
        <v>0</v>
      </c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  <c r="AF107" s="97"/>
      <c r="AG107" s="9"/>
      <c r="AH107" s="9"/>
      <c r="AI107" s="9"/>
      <c r="AJ107" s="9"/>
    </row>
    <row r="108" spans="1:36" ht="16.5">
      <c r="A108" s="5">
        <v>40689</v>
      </c>
      <c r="B108" s="15" t="s">
        <v>16</v>
      </c>
      <c r="C108" s="97">
        <v>1708</v>
      </c>
      <c r="D108" s="100"/>
      <c r="E108" s="100"/>
      <c r="F108" s="100" t="s">
        <v>30</v>
      </c>
      <c r="G108" s="100"/>
      <c r="H108" s="100"/>
      <c r="I108" s="97">
        <v>332.08</v>
      </c>
      <c r="J108" s="101">
        <v>569.28</v>
      </c>
      <c r="K108" s="101">
        <v>569.28</v>
      </c>
      <c r="L108" s="101">
        <v>237.35999999999999</v>
      </c>
      <c r="M108" s="101">
        <f t="shared" si="58"/>
        <v>1707.9999999999998</v>
      </c>
      <c r="N108" s="101">
        <f t="shared" si="59"/>
        <v>0</v>
      </c>
      <c r="O108" s="101">
        <v>0</v>
      </c>
      <c r="P108" s="101">
        <f t="shared" si="54"/>
        <v>0</v>
      </c>
      <c r="Q108" s="101">
        <f t="shared" si="55"/>
        <v>1708</v>
      </c>
      <c r="R108" s="97">
        <f t="shared" si="56"/>
        <v>0</v>
      </c>
      <c r="S108" s="27"/>
      <c r="T108" s="97">
        <f t="shared" si="57"/>
        <v>0</v>
      </c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"/>
      <c r="AH108" s="9"/>
      <c r="AI108" s="9"/>
      <c r="AJ108" s="9"/>
    </row>
    <row r="109" spans="1:36" ht="16.5">
      <c r="A109" s="5">
        <v>40709</v>
      </c>
      <c r="B109" s="15" t="s">
        <v>17</v>
      </c>
      <c r="C109" s="97">
        <v>605</v>
      </c>
      <c r="D109" s="100"/>
      <c r="E109" s="100"/>
      <c r="F109" s="100" t="s">
        <v>30</v>
      </c>
      <c r="G109" s="100"/>
      <c r="H109" s="100"/>
      <c r="I109" s="97">
        <v>109.265</v>
      </c>
      <c r="J109" s="101">
        <v>201.72</v>
      </c>
      <c r="K109" s="101">
        <v>201.72</v>
      </c>
      <c r="L109" s="101">
        <v>92.3</v>
      </c>
      <c r="M109" s="101">
        <f t="shared" si="58"/>
        <v>605.005</v>
      </c>
      <c r="N109" s="101">
        <f t="shared" si="59"/>
        <v>-4.9999999999954525E-3</v>
      </c>
      <c r="O109" s="101">
        <v>0</v>
      </c>
      <c r="P109" s="101">
        <f t="shared" si="54"/>
        <v>-4.9999999999954525E-3</v>
      </c>
      <c r="Q109" s="101">
        <f t="shared" si="55"/>
        <v>605</v>
      </c>
      <c r="R109" s="97">
        <f t="shared" si="56"/>
        <v>0</v>
      </c>
      <c r="S109" s="27"/>
      <c r="T109" s="97">
        <f t="shared" si="57"/>
        <v>0</v>
      </c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"/>
      <c r="AH109" s="9"/>
      <c r="AI109" s="9"/>
      <c r="AJ109" s="9"/>
    </row>
    <row r="110" spans="1:36" ht="16.5">
      <c r="A110" s="5">
        <v>40716</v>
      </c>
      <c r="B110" s="15" t="s">
        <v>18</v>
      </c>
      <c r="C110" s="97">
        <v>824</v>
      </c>
      <c r="D110" s="100"/>
      <c r="E110" s="100"/>
      <c r="F110" s="100" t="s">
        <v>30</v>
      </c>
      <c r="G110" s="100"/>
      <c r="H110" s="100"/>
      <c r="I110" s="97">
        <v>143.42000000000002</v>
      </c>
      <c r="J110" s="101">
        <v>274.67999999999995</v>
      </c>
      <c r="K110" s="101">
        <v>274.67999999999995</v>
      </c>
      <c r="L110" s="101">
        <v>131.22</v>
      </c>
      <c r="M110" s="101">
        <f t="shared" si="58"/>
        <v>824</v>
      </c>
      <c r="N110" s="101">
        <f t="shared" si="59"/>
        <v>0</v>
      </c>
      <c r="O110" s="101">
        <v>0</v>
      </c>
      <c r="P110" s="101">
        <f t="shared" si="54"/>
        <v>0</v>
      </c>
      <c r="Q110" s="101">
        <f t="shared" si="55"/>
        <v>824</v>
      </c>
      <c r="R110" s="97">
        <f t="shared" si="56"/>
        <v>0</v>
      </c>
      <c r="S110" s="27"/>
      <c r="T110" s="97">
        <f t="shared" si="57"/>
        <v>0</v>
      </c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"/>
      <c r="AH110" s="9"/>
      <c r="AI110" s="9"/>
      <c r="AJ110" s="9"/>
    </row>
    <row r="111" spans="1:36" ht="16.5">
      <c r="A111" s="5">
        <v>40724</v>
      </c>
      <c r="B111" s="15" t="s">
        <v>19</v>
      </c>
      <c r="C111" s="97">
        <v>1648</v>
      </c>
      <c r="D111" s="100"/>
      <c r="E111" s="100"/>
      <c r="F111" s="100" t="s">
        <v>30</v>
      </c>
      <c r="G111" s="100"/>
      <c r="H111" s="100"/>
      <c r="I111" s="97">
        <v>274.68</v>
      </c>
      <c r="J111" s="101">
        <v>549.3599999999999</v>
      </c>
      <c r="K111" s="101">
        <v>549.3599999999999</v>
      </c>
      <c r="L111" s="101">
        <v>274.60000000000002</v>
      </c>
      <c r="M111" s="101">
        <f t="shared" si="58"/>
        <v>1648</v>
      </c>
      <c r="N111" s="101">
        <f t="shared" si="59"/>
        <v>0</v>
      </c>
      <c r="O111" s="101">
        <v>0</v>
      </c>
      <c r="P111" s="101">
        <f t="shared" si="54"/>
        <v>0</v>
      </c>
      <c r="Q111" s="101">
        <f t="shared" si="55"/>
        <v>1648</v>
      </c>
      <c r="R111" s="97">
        <f t="shared" si="56"/>
        <v>0</v>
      </c>
      <c r="S111" s="27"/>
      <c r="T111" s="97">
        <f t="shared" si="57"/>
        <v>0</v>
      </c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"/>
      <c r="AH111" s="9"/>
      <c r="AI111" s="9"/>
      <c r="AJ111" s="9"/>
    </row>
    <row r="112" spans="1:36" ht="16.5">
      <c r="A112" s="5">
        <v>40743</v>
      </c>
      <c r="B112" s="15" t="s">
        <v>20</v>
      </c>
      <c r="C112" s="97">
        <v>2184</v>
      </c>
      <c r="D112" s="100"/>
      <c r="E112" s="100"/>
      <c r="F112" s="100" t="s">
        <v>30</v>
      </c>
      <c r="G112" s="100"/>
      <c r="H112" s="100"/>
      <c r="I112" s="97">
        <v>325.57000000000005</v>
      </c>
      <c r="J112" s="101">
        <v>728.04</v>
      </c>
      <c r="K112" s="101">
        <v>728.04</v>
      </c>
      <c r="L112" s="101">
        <v>402.35</v>
      </c>
      <c r="M112" s="101">
        <f t="shared" si="58"/>
        <v>2184</v>
      </c>
      <c r="N112" s="101">
        <f t="shared" si="59"/>
        <v>0</v>
      </c>
      <c r="O112" s="101">
        <v>0</v>
      </c>
      <c r="P112" s="101">
        <f t="shared" si="54"/>
        <v>0</v>
      </c>
      <c r="Q112" s="101">
        <f t="shared" si="55"/>
        <v>2184</v>
      </c>
      <c r="R112" s="97">
        <f t="shared" si="56"/>
        <v>0</v>
      </c>
      <c r="S112" s="27"/>
      <c r="T112" s="97">
        <f t="shared" si="57"/>
        <v>0</v>
      </c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  <c r="AF112" s="97"/>
      <c r="AG112" s="9"/>
      <c r="AH112" s="9"/>
      <c r="AI112" s="9"/>
      <c r="AJ112" s="9"/>
    </row>
    <row r="113" spans="1:36" ht="16.5">
      <c r="A113" s="5">
        <v>40752</v>
      </c>
      <c r="B113" s="15" t="s">
        <v>16</v>
      </c>
      <c r="C113" s="97">
        <v>1708</v>
      </c>
      <c r="D113" s="100"/>
      <c r="E113" s="100"/>
      <c r="F113" s="100" t="s">
        <v>30</v>
      </c>
      <c r="G113" s="100"/>
      <c r="H113" s="100"/>
      <c r="I113" s="97">
        <v>237.2</v>
      </c>
      <c r="J113" s="101">
        <v>569.28</v>
      </c>
      <c r="K113" s="101">
        <v>569.28</v>
      </c>
      <c r="L113" s="101">
        <v>332.24</v>
      </c>
      <c r="M113" s="101">
        <f t="shared" si="58"/>
        <v>1708</v>
      </c>
      <c r="N113" s="101">
        <f t="shared" si="59"/>
        <v>0</v>
      </c>
      <c r="O113" s="101">
        <v>0</v>
      </c>
      <c r="P113" s="101">
        <f t="shared" si="54"/>
        <v>0</v>
      </c>
      <c r="Q113" s="101">
        <f t="shared" si="55"/>
        <v>1708</v>
      </c>
      <c r="R113" s="97">
        <f t="shared" si="56"/>
        <v>0</v>
      </c>
      <c r="S113" s="27"/>
      <c r="T113" s="97">
        <f t="shared" si="57"/>
        <v>0</v>
      </c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  <c r="AF113" s="97"/>
      <c r="AG113" s="9"/>
      <c r="AH113" s="9"/>
      <c r="AI113" s="9"/>
      <c r="AJ113" s="9"/>
    </row>
    <row r="114" spans="1:36" ht="16.5">
      <c r="A114" s="5">
        <v>40791</v>
      </c>
      <c r="B114" s="15" t="s">
        <v>20</v>
      </c>
      <c r="C114" s="97">
        <v>2049</v>
      </c>
      <c r="D114" s="100"/>
      <c r="E114" s="100"/>
      <c r="F114" s="100" t="s">
        <v>30</v>
      </c>
      <c r="G114" s="100"/>
      <c r="H114" s="100"/>
      <c r="I114" s="97">
        <v>218.26</v>
      </c>
      <c r="J114" s="101">
        <v>683.04</v>
      </c>
      <c r="K114" s="101">
        <v>683.04</v>
      </c>
      <c r="L114" s="101">
        <v>464.66000000000008</v>
      </c>
      <c r="M114" s="101">
        <f t="shared" si="58"/>
        <v>2049</v>
      </c>
      <c r="N114" s="101">
        <f t="shared" si="59"/>
        <v>0</v>
      </c>
      <c r="O114" s="101">
        <v>0</v>
      </c>
      <c r="P114" s="101">
        <f t="shared" si="54"/>
        <v>0</v>
      </c>
      <c r="Q114" s="101">
        <f t="shared" si="55"/>
        <v>2049</v>
      </c>
      <c r="R114" s="97">
        <f t="shared" si="56"/>
        <v>0</v>
      </c>
      <c r="S114" s="27"/>
      <c r="T114" s="97">
        <f t="shared" si="57"/>
        <v>0</v>
      </c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  <c r="AF114" s="97"/>
      <c r="AG114" s="9"/>
      <c r="AH114" s="9"/>
      <c r="AI114" s="9"/>
      <c r="AJ114" s="9"/>
    </row>
    <row r="115" spans="1:36" ht="16.5">
      <c r="A115" s="5"/>
      <c r="C115" s="97"/>
      <c r="D115" s="100"/>
      <c r="E115" s="100"/>
      <c r="F115" s="100" t="s">
        <v>30</v>
      </c>
      <c r="G115" s="100"/>
      <c r="H115" s="100"/>
      <c r="I115" s="100"/>
      <c r="J115" s="101"/>
      <c r="K115" s="100"/>
      <c r="L115" s="100"/>
      <c r="M115" s="100"/>
      <c r="N115" s="100"/>
      <c r="O115" s="101"/>
      <c r="P115" s="101"/>
      <c r="Q115" s="101"/>
      <c r="R115" s="97"/>
      <c r="S115" s="27"/>
      <c r="T115" s="2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  <c r="AF115" s="97"/>
      <c r="AG115" s="9"/>
      <c r="AH115" s="9"/>
      <c r="AI115" s="9"/>
      <c r="AJ115" s="9"/>
    </row>
    <row r="116" spans="1:36" ht="16.5">
      <c r="A116" s="5">
        <v>41029</v>
      </c>
      <c r="B116" s="15" t="s">
        <v>145</v>
      </c>
      <c r="C116" s="97">
        <v>900</v>
      </c>
      <c r="D116" s="100"/>
      <c r="E116" s="100"/>
      <c r="F116" s="100"/>
      <c r="G116" s="100"/>
      <c r="H116" s="100"/>
      <c r="I116" s="100"/>
      <c r="J116" s="101">
        <v>200</v>
      </c>
      <c r="K116" s="101">
        <v>300</v>
      </c>
      <c r="L116" s="101">
        <v>300</v>
      </c>
      <c r="M116" s="101">
        <f>SUM(I116:L116)</f>
        <v>800</v>
      </c>
      <c r="N116" s="101">
        <f>+C116-M116</f>
        <v>100</v>
      </c>
      <c r="O116" s="101">
        <v>100</v>
      </c>
      <c r="P116" s="101">
        <f>+N116-O116</f>
        <v>0</v>
      </c>
      <c r="Q116" s="101">
        <f>+M116+O116</f>
        <v>900</v>
      </c>
      <c r="R116" s="97">
        <f>+C116-Q116</f>
        <v>0</v>
      </c>
      <c r="S116" s="22"/>
      <c r="T116" s="97">
        <f t="shared" ref="T116:T119" si="60">+R116</f>
        <v>0</v>
      </c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  <c r="AF116" s="97"/>
      <c r="AG116" s="9"/>
      <c r="AH116" s="9"/>
      <c r="AI116" s="9"/>
      <c r="AJ116" s="9"/>
    </row>
    <row r="117" spans="1:36" ht="16.5">
      <c r="A117" s="5">
        <v>41232</v>
      </c>
      <c r="B117" s="15" t="s">
        <v>13</v>
      </c>
      <c r="C117" s="97">
        <v>378</v>
      </c>
      <c r="D117" s="100"/>
      <c r="E117" s="100"/>
      <c r="F117" s="100"/>
      <c r="G117" s="100"/>
      <c r="H117" s="100"/>
      <c r="I117" s="100"/>
      <c r="J117" s="101">
        <v>14.35</v>
      </c>
      <c r="K117" s="101">
        <v>126</v>
      </c>
      <c r="L117" s="101">
        <v>126</v>
      </c>
      <c r="M117" s="101">
        <f>SUM(I117:L117)</f>
        <v>266.35000000000002</v>
      </c>
      <c r="N117" s="101">
        <f>+C117-M117</f>
        <v>111.64999999999998</v>
      </c>
      <c r="O117" s="101">
        <v>111.65</v>
      </c>
      <c r="P117" s="101">
        <f>+N117-O117</f>
        <v>0</v>
      </c>
      <c r="Q117" s="101">
        <f>+M117+O117</f>
        <v>378</v>
      </c>
      <c r="R117" s="97">
        <f>+C117-Q117</f>
        <v>0</v>
      </c>
      <c r="S117" s="22"/>
      <c r="T117" s="97">
        <f t="shared" si="60"/>
        <v>0</v>
      </c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"/>
      <c r="AH117" s="9"/>
      <c r="AI117" s="9"/>
      <c r="AJ117" s="9"/>
    </row>
    <row r="118" spans="1:36" ht="16.5">
      <c r="A118" s="5">
        <v>41232</v>
      </c>
      <c r="B118" s="15" t="s">
        <v>14</v>
      </c>
      <c r="C118" s="97">
        <v>241</v>
      </c>
      <c r="D118" s="100"/>
      <c r="E118" s="100"/>
      <c r="F118" s="100"/>
      <c r="G118" s="100"/>
      <c r="H118" s="100"/>
      <c r="I118" s="100"/>
      <c r="J118" s="101">
        <v>9.11</v>
      </c>
      <c r="K118" s="101">
        <v>80.279999999999987</v>
      </c>
      <c r="L118" s="101">
        <v>80.279999999999987</v>
      </c>
      <c r="M118" s="101">
        <f>SUM(I118:L118)</f>
        <v>169.66999999999996</v>
      </c>
      <c r="N118" s="101">
        <f>+C118-M118</f>
        <v>71.330000000000041</v>
      </c>
      <c r="O118" s="101">
        <v>71.33</v>
      </c>
      <c r="P118" s="101">
        <f>+N118-O118</f>
        <v>0</v>
      </c>
      <c r="Q118" s="101">
        <f>+M118+O118</f>
        <v>240.99999999999994</v>
      </c>
      <c r="R118" s="97">
        <f>+C118-Q118</f>
        <v>0</v>
      </c>
      <c r="S118" s="22"/>
      <c r="T118" s="97">
        <f t="shared" si="60"/>
        <v>0</v>
      </c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"/>
      <c r="AH118" s="9"/>
      <c r="AI118" s="9"/>
      <c r="AJ118" s="9"/>
    </row>
    <row r="119" spans="1:36" ht="16.5">
      <c r="A119" s="5">
        <v>41257</v>
      </c>
      <c r="B119" s="15" t="s">
        <v>143</v>
      </c>
      <c r="C119" s="97">
        <v>2178</v>
      </c>
      <c r="D119" s="100"/>
      <c r="E119" s="100"/>
      <c r="F119" s="100"/>
      <c r="G119" s="100"/>
      <c r="H119" s="100"/>
      <c r="I119" s="100"/>
      <c r="J119" s="101">
        <v>32.32</v>
      </c>
      <c r="K119" s="101">
        <v>726</v>
      </c>
      <c r="L119" s="101">
        <v>726</v>
      </c>
      <c r="M119" s="101">
        <f>SUM(I119:L119)</f>
        <v>1484.3200000000002</v>
      </c>
      <c r="N119" s="101">
        <f>+C119-M119</f>
        <v>693.67999999999984</v>
      </c>
      <c r="O119" s="101">
        <v>693.68</v>
      </c>
      <c r="P119" s="101">
        <f>+N119-O119</f>
        <v>0</v>
      </c>
      <c r="Q119" s="101">
        <f>+M119+O119</f>
        <v>2178</v>
      </c>
      <c r="R119" s="97">
        <f>+C119-Q119</f>
        <v>0</v>
      </c>
      <c r="S119" s="22"/>
      <c r="T119" s="97">
        <f t="shared" si="60"/>
        <v>0</v>
      </c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"/>
      <c r="AH119" s="9"/>
      <c r="AI119" s="9"/>
      <c r="AJ119" s="9"/>
    </row>
    <row r="120" spans="1:36" ht="16.5">
      <c r="A120" s="5"/>
      <c r="C120" s="97"/>
      <c r="D120" s="100"/>
      <c r="E120" s="100"/>
      <c r="F120" s="100"/>
      <c r="G120" s="100"/>
      <c r="H120" s="100"/>
      <c r="I120" s="100"/>
      <c r="J120" s="101" t="s">
        <v>30</v>
      </c>
      <c r="K120" s="101"/>
      <c r="L120" s="101"/>
      <c r="M120" s="100"/>
      <c r="N120" s="100"/>
      <c r="O120" s="101"/>
      <c r="P120" s="101"/>
      <c r="Q120" s="101"/>
      <c r="R120" s="94"/>
      <c r="S120" s="21"/>
      <c r="T120" s="79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  <c r="AF120" s="97"/>
      <c r="AG120" s="9"/>
      <c r="AH120" s="9"/>
      <c r="AI120" s="9"/>
      <c r="AJ120" s="9"/>
    </row>
    <row r="121" spans="1:36" ht="16.5">
      <c r="A121" s="5">
        <v>41320</v>
      </c>
      <c r="B121" s="15" t="s">
        <v>72</v>
      </c>
      <c r="C121" s="97">
        <v>837</v>
      </c>
      <c r="D121" s="100"/>
      <c r="E121" s="100"/>
      <c r="F121" s="100"/>
      <c r="G121" s="100"/>
      <c r="H121" s="100"/>
      <c r="I121" s="100"/>
      <c r="J121" s="101" t="s">
        <v>30</v>
      </c>
      <c r="K121" s="101">
        <f>243.29+6.9</f>
        <v>250.19</v>
      </c>
      <c r="L121" s="101">
        <v>279</v>
      </c>
      <c r="M121" s="101">
        <f>SUM(I121:L121)</f>
        <v>529.19000000000005</v>
      </c>
      <c r="N121" s="101">
        <f>+C121-M121</f>
        <v>307.80999999999995</v>
      </c>
      <c r="O121" s="101">
        <v>279</v>
      </c>
      <c r="P121" s="101">
        <f>+N121-O121</f>
        <v>28.809999999999945</v>
      </c>
      <c r="Q121" s="101">
        <v>837</v>
      </c>
      <c r="R121" s="97">
        <f>+C121-Q121</f>
        <v>0</v>
      </c>
      <c r="S121" s="21"/>
      <c r="T121" s="97">
        <f t="shared" ref="T121:T124" si="61">+R121</f>
        <v>0</v>
      </c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"/>
      <c r="AH121" s="9"/>
      <c r="AI121" s="9"/>
      <c r="AJ121" s="9"/>
    </row>
    <row r="122" spans="1:36" ht="16.5">
      <c r="A122" s="5">
        <v>41327</v>
      </c>
      <c r="B122" s="15" t="s">
        <v>12</v>
      </c>
      <c r="C122" s="97">
        <v>2109</v>
      </c>
      <c r="D122" s="100"/>
      <c r="E122" s="100"/>
      <c r="F122" s="100"/>
      <c r="G122" s="100"/>
      <c r="H122" s="100"/>
      <c r="I122" s="100"/>
      <c r="J122" s="101" t="s">
        <v>30</v>
      </c>
      <c r="K122" s="101">
        <v>598.33999999999992</v>
      </c>
      <c r="L122" s="101">
        <v>702.96</v>
      </c>
      <c r="M122" s="101">
        <f>SUM(I122:L122)</f>
        <v>1301.3</v>
      </c>
      <c r="N122" s="101">
        <f>+C122-M122</f>
        <v>807.7</v>
      </c>
      <c r="O122" s="101">
        <v>702.96</v>
      </c>
      <c r="P122" s="101">
        <f>+N122-O122</f>
        <v>104.74000000000001</v>
      </c>
      <c r="Q122" s="101">
        <v>2109</v>
      </c>
      <c r="R122" s="97">
        <f>+C122-Q122</f>
        <v>0</v>
      </c>
      <c r="S122" s="21"/>
      <c r="T122" s="97">
        <f t="shared" si="61"/>
        <v>0</v>
      </c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"/>
      <c r="AH122" s="9"/>
      <c r="AI122" s="9"/>
      <c r="AJ122" s="9"/>
    </row>
    <row r="123" spans="1:36" ht="16.5">
      <c r="A123" s="5">
        <v>41355</v>
      </c>
      <c r="B123" s="15" t="s">
        <v>140</v>
      </c>
      <c r="C123" s="97">
        <v>837</v>
      </c>
      <c r="D123" s="100"/>
      <c r="E123" s="100"/>
      <c r="F123" s="100"/>
      <c r="G123" s="100"/>
      <c r="H123" s="100"/>
      <c r="I123" s="100"/>
      <c r="J123" s="101"/>
      <c r="K123" s="101">
        <v>215.49</v>
      </c>
      <c r="L123" s="101">
        <v>279</v>
      </c>
      <c r="M123" s="101">
        <f>SUM(I123:L123)</f>
        <v>494.49</v>
      </c>
      <c r="N123" s="101">
        <f>+C123-M123</f>
        <v>342.51</v>
      </c>
      <c r="O123" s="101">
        <v>279</v>
      </c>
      <c r="P123" s="101">
        <f>+N123-O123</f>
        <v>63.509999999999991</v>
      </c>
      <c r="Q123" s="101">
        <v>837</v>
      </c>
      <c r="R123" s="97">
        <f>+C123-Q123</f>
        <v>0</v>
      </c>
      <c r="S123" s="21"/>
      <c r="T123" s="97">
        <f t="shared" si="61"/>
        <v>0</v>
      </c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"/>
      <c r="AH123" s="9"/>
      <c r="AI123" s="9"/>
      <c r="AJ123" s="9"/>
    </row>
    <row r="124" spans="1:36" ht="16.5">
      <c r="A124" s="5">
        <v>41639</v>
      </c>
      <c r="B124" s="15" t="s">
        <v>144</v>
      </c>
      <c r="C124" s="97">
        <v>1600</v>
      </c>
      <c r="D124" s="100"/>
      <c r="E124" s="100"/>
      <c r="F124" s="100"/>
      <c r="G124" s="100"/>
      <c r="H124" s="100"/>
      <c r="I124" s="100"/>
      <c r="J124" s="101"/>
      <c r="K124" s="101">
        <v>0</v>
      </c>
      <c r="L124" s="101">
        <v>533.28</v>
      </c>
      <c r="M124" s="101">
        <f>SUM(I124:L124)</f>
        <v>533.28</v>
      </c>
      <c r="N124" s="101">
        <f>+C124-M124</f>
        <v>1066.72</v>
      </c>
      <c r="O124" s="101">
        <v>533.28</v>
      </c>
      <c r="P124" s="101">
        <f>+N124-O124</f>
        <v>533.44000000000005</v>
      </c>
      <c r="Q124" s="101">
        <v>1600</v>
      </c>
      <c r="R124" s="97">
        <f>+C124-Q124</f>
        <v>0</v>
      </c>
      <c r="S124" s="21"/>
      <c r="T124" s="97">
        <f t="shared" si="61"/>
        <v>0</v>
      </c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  <c r="AF124" s="97"/>
      <c r="AG124" s="9"/>
      <c r="AH124" s="9"/>
      <c r="AI124" s="9"/>
      <c r="AJ124" s="9"/>
    </row>
    <row r="125" spans="1:36" ht="16.5">
      <c r="A125" s="5"/>
      <c r="C125" s="97"/>
      <c r="D125" s="100"/>
      <c r="E125" s="100"/>
      <c r="F125" s="100"/>
      <c r="G125" s="100"/>
      <c r="H125" s="100"/>
      <c r="I125" s="100"/>
      <c r="J125" s="101"/>
      <c r="K125" s="101"/>
      <c r="L125" s="101"/>
      <c r="M125" s="100"/>
      <c r="N125" s="100"/>
      <c r="O125" s="101"/>
      <c r="P125" s="101"/>
      <c r="Q125" s="101"/>
      <c r="R125" s="94"/>
      <c r="S125" s="21"/>
      <c r="T125" s="22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  <c r="AF125" s="97"/>
      <c r="AG125" s="9"/>
      <c r="AH125" s="9"/>
      <c r="AI125" s="9"/>
      <c r="AJ125" s="9"/>
    </row>
    <row r="126" spans="1:36" ht="16.5">
      <c r="A126" s="5">
        <v>41655</v>
      </c>
      <c r="B126" s="15" t="s">
        <v>139</v>
      </c>
      <c r="C126" s="101">
        <v>399</v>
      </c>
      <c r="D126" s="100"/>
      <c r="E126" s="100"/>
      <c r="F126" s="100"/>
      <c r="G126" s="100"/>
      <c r="H126" s="100"/>
      <c r="I126" s="100"/>
      <c r="J126" s="101"/>
      <c r="K126" s="100"/>
      <c r="L126" s="101">
        <v>127.27999999999999</v>
      </c>
      <c r="M126" s="101">
        <f>SUM(I126:L126)</f>
        <v>127.27999999999999</v>
      </c>
      <c r="N126" s="101">
        <f>+C126-M126</f>
        <v>271.72000000000003</v>
      </c>
      <c r="O126" s="101">
        <v>133</v>
      </c>
      <c r="P126" s="101">
        <f>+N126-O126</f>
        <v>138.72000000000003</v>
      </c>
      <c r="Q126" s="101">
        <f>393.24+5.76</f>
        <v>399</v>
      </c>
      <c r="R126" s="95">
        <f>+C126-Q126</f>
        <v>0</v>
      </c>
      <c r="S126" s="21"/>
      <c r="T126" s="97">
        <f t="shared" ref="T126:T129" si="62">+R126</f>
        <v>0</v>
      </c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  <c r="AF126" s="97"/>
      <c r="AG126" s="9"/>
      <c r="AH126" s="9"/>
      <c r="AI126" s="9"/>
      <c r="AJ126" s="9"/>
    </row>
    <row r="127" spans="1:36" ht="16.5">
      <c r="A127" s="5">
        <v>41831</v>
      </c>
      <c r="B127" s="15" t="s">
        <v>138</v>
      </c>
      <c r="C127" s="101">
        <v>950</v>
      </c>
      <c r="D127" s="100"/>
      <c r="E127" s="100"/>
      <c r="F127" s="100"/>
      <c r="G127" s="100"/>
      <c r="H127" s="100"/>
      <c r="I127" s="100"/>
      <c r="J127" s="101"/>
      <c r="K127" s="100"/>
      <c r="L127" s="101">
        <v>148.94999999999999</v>
      </c>
      <c r="M127" s="101">
        <f>SUM(I127:L127)</f>
        <v>148.94999999999999</v>
      </c>
      <c r="N127" s="101">
        <f>+C127-M127</f>
        <v>801.05</v>
      </c>
      <c r="O127" s="101">
        <v>316.67</v>
      </c>
      <c r="P127" s="101">
        <f>+N127-O127</f>
        <v>484.37999999999994</v>
      </c>
      <c r="Q127" s="101">
        <f>782.3+167.7</f>
        <v>950</v>
      </c>
      <c r="R127" s="95">
        <f>+C127-Q127</f>
        <v>0</v>
      </c>
      <c r="S127" s="21"/>
      <c r="T127" s="97">
        <f t="shared" si="62"/>
        <v>0</v>
      </c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  <c r="AF127" s="97"/>
      <c r="AG127" s="9"/>
      <c r="AH127" s="9"/>
      <c r="AI127" s="9"/>
      <c r="AJ127" s="9"/>
    </row>
    <row r="128" spans="1:36" ht="16.5">
      <c r="A128" s="5">
        <v>41849</v>
      </c>
      <c r="B128" s="15" t="s">
        <v>11</v>
      </c>
      <c r="C128" s="101">
        <v>279</v>
      </c>
      <c r="D128" s="100"/>
      <c r="E128" s="100"/>
      <c r="F128" s="100"/>
      <c r="G128" s="100"/>
      <c r="H128" s="100"/>
      <c r="I128" s="100"/>
      <c r="J128" s="101"/>
      <c r="K128" s="100"/>
      <c r="L128" s="101">
        <v>38.75</v>
      </c>
      <c r="M128" s="101">
        <f>SUM(I128:L128)</f>
        <v>38.75</v>
      </c>
      <c r="N128" s="101">
        <f>+C128-M128</f>
        <v>240.25</v>
      </c>
      <c r="O128" s="101">
        <v>93</v>
      </c>
      <c r="P128" s="101">
        <f>+N128-O128</f>
        <v>147.25</v>
      </c>
      <c r="Q128" s="101">
        <f>224.75+54.25</f>
        <v>279</v>
      </c>
      <c r="R128" s="95">
        <f>+C128-Q128</f>
        <v>0</v>
      </c>
      <c r="S128" s="21"/>
      <c r="T128" s="97">
        <f t="shared" si="62"/>
        <v>0</v>
      </c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  <c r="AF128" s="97"/>
      <c r="AG128" s="9"/>
      <c r="AH128" s="9"/>
      <c r="AI128" s="9"/>
      <c r="AJ128" s="9"/>
    </row>
    <row r="129" spans="1:36" ht="16.5">
      <c r="A129" s="5">
        <v>41977</v>
      </c>
      <c r="B129" s="15" t="s">
        <v>10</v>
      </c>
      <c r="C129" s="101">
        <v>420</v>
      </c>
      <c r="D129" s="100"/>
      <c r="E129" s="100"/>
      <c r="F129" s="100"/>
      <c r="G129" s="100"/>
      <c r="H129" s="100"/>
      <c r="I129" s="100"/>
      <c r="J129" s="101"/>
      <c r="K129" s="100"/>
      <c r="L129" s="101">
        <v>11.67</v>
      </c>
      <c r="M129" s="101">
        <f>SUM(I129:L129)</f>
        <v>11.67</v>
      </c>
      <c r="N129" s="101">
        <f>+C129-M129</f>
        <v>408.33</v>
      </c>
      <c r="O129" s="101">
        <v>140</v>
      </c>
      <c r="P129" s="101">
        <f>+N129-O129</f>
        <v>268.33</v>
      </c>
      <c r="Q129" s="101">
        <f>291.71+128.29</f>
        <v>420</v>
      </c>
      <c r="R129" s="95">
        <f>+C129-Q129</f>
        <v>0</v>
      </c>
      <c r="S129" s="21"/>
      <c r="T129" s="97">
        <f t="shared" si="62"/>
        <v>0</v>
      </c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"/>
      <c r="AH129" s="9"/>
      <c r="AI129" s="9"/>
      <c r="AJ129" s="9"/>
    </row>
    <row r="130" spans="1:36" ht="16.5">
      <c r="C130" s="100"/>
      <c r="D130" s="100"/>
      <c r="E130" s="100"/>
      <c r="F130" s="100"/>
      <c r="G130" s="100"/>
      <c r="H130" s="100"/>
      <c r="I130" s="100"/>
      <c r="J130" s="101"/>
      <c r="K130" s="100"/>
      <c r="L130" s="100"/>
      <c r="M130" s="100"/>
      <c r="N130" s="100"/>
      <c r="O130" s="101"/>
      <c r="P130" s="101"/>
      <c r="Q130" s="101"/>
      <c r="R130" s="94"/>
      <c r="S130" s="21"/>
      <c r="T130" s="22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"/>
      <c r="AH130" s="9"/>
      <c r="AI130" s="9"/>
      <c r="AJ130" s="9"/>
    </row>
    <row r="131" spans="1:36" ht="16.5">
      <c r="A131" s="19">
        <v>42085</v>
      </c>
      <c r="B131" s="15" t="s">
        <v>73</v>
      </c>
      <c r="C131" s="101">
        <v>870.87</v>
      </c>
      <c r="D131" s="100"/>
      <c r="E131" s="100"/>
      <c r="F131" s="100"/>
      <c r="G131" s="100"/>
      <c r="H131" s="100"/>
      <c r="I131" s="100"/>
      <c r="J131" s="101"/>
      <c r="K131" s="100"/>
      <c r="L131" s="100"/>
      <c r="M131" s="100">
        <v>0</v>
      </c>
      <c r="N131" s="100" t="s">
        <v>30</v>
      </c>
      <c r="O131" s="95">
        <v>130.59</v>
      </c>
      <c r="P131" s="95">
        <f>+C131-O131</f>
        <v>740.28</v>
      </c>
      <c r="Q131" s="101">
        <v>870.87</v>
      </c>
      <c r="R131" s="101">
        <f>+C131-Q131</f>
        <v>0</v>
      </c>
      <c r="S131" s="21"/>
      <c r="T131" s="97">
        <f t="shared" ref="T131" si="63">+R131</f>
        <v>0</v>
      </c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"/>
      <c r="AH131" s="9"/>
      <c r="AI131" s="9"/>
      <c r="AJ131" s="9"/>
    </row>
    <row r="132" spans="1:36" ht="16.5">
      <c r="C132" s="100"/>
      <c r="D132" s="100"/>
      <c r="E132" s="100"/>
      <c r="F132" s="100"/>
      <c r="G132" s="100"/>
      <c r="H132" s="100"/>
      <c r="I132" s="100"/>
      <c r="J132" s="101"/>
      <c r="K132" s="100"/>
      <c r="L132" s="100"/>
      <c r="M132" s="100"/>
      <c r="N132" s="100"/>
      <c r="O132" s="101"/>
      <c r="P132" s="101"/>
      <c r="Q132" s="95"/>
      <c r="R132" s="95" t="s">
        <v>30</v>
      </c>
      <c r="S132" s="21"/>
      <c r="T132" s="22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"/>
      <c r="AH132" s="9"/>
      <c r="AI132" s="9"/>
      <c r="AJ132" s="9"/>
    </row>
    <row r="133" spans="1:36" ht="16.5">
      <c r="A133" s="19">
        <v>42417</v>
      </c>
      <c r="B133" s="15" t="s">
        <v>74</v>
      </c>
      <c r="C133" s="101">
        <v>3029.46</v>
      </c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1">
        <v>3029.46</v>
      </c>
      <c r="R133" s="95">
        <f>+C133-Q133</f>
        <v>0</v>
      </c>
      <c r="S133" s="21"/>
      <c r="T133" s="97">
        <f t="shared" ref="T133:T135" si="64">+R133</f>
        <v>0</v>
      </c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  <c r="AF133" s="97"/>
      <c r="AG133" s="9"/>
      <c r="AH133" s="9"/>
      <c r="AI133" s="9"/>
      <c r="AJ133" s="9"/>
    </row>
    <row r="134" spans="1:36" ht="16.5">
      <c r="A134" s="19">
        <v>42452</v>
      </c>
      <c r="B134" s="15" t="s">
        <v>74</v>
      </c>
      <c r="C134" s="101">
        <v>2661.44</v>
      </c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1">
        <v>2661.44</v>
      </c>
      <c r="R134" s="95">
        <f>+C134-Q134</f>
        <v>0</v>
      </c>
      <c r="S134" s="21"/>
      <c r="T134" s="97">
        <f t="shared" si="64"/>
        <v>0</v>
      </c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  <c r="AF134" s="97"/>
      <c r="AG134" s="9"/>
      <c r="AH134" s="9"/>
      <c r="AI134" s="9"/>
      <c r="AJ134" s="9"/>
    </row>
    <row r="135" spans="1:36" ht="16.5">
      <c r="A135" s="19">
        <v>42510</v>
      </c>
      <c r="B135" s="15" t="s">
        <v>74</v>
      </c>
      <c r="C135" s="101">
        <v>2648.94</v>
      </c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1">
        <v>2648.94</v>
      </c>
      <c r="R135" s="95">
        <f>+C135-Q135</f>
        <v>0</v>
      </c>
      <c r="S135" s="21"/>
      <c r="T135" s="97">
        <f t="shared" si="64"/>
        <v>0</v>
      </c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"/>
      <c r="AH135" s="9"/>
      <c r="AI135" s="9"/>
      <c r="AJ135" s="9"/>
    </row>
    <row r="136" spans="1:36" ht="16.5">
      <c r="B136" s="3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94"/>
      <c r="S136" s="21"/>
      <c r="T136" s="2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  <c r="AF136" s="97"/>
      <c r="AG136" s="9"/>
      <c r="AH136" s="9"/>
      <c r="AI136" s="9"/>
      <c r="AJ136" s="9"/>
    </row>
    <row r="137" spans="1:36" ht="16.5">
      <c r="A137" s="19">
        <v>42996</v>
      </c>
      <c r="B137" s="15" t="s">
        <v>75</v>
      </c>
      <c r="C137" s="95">
        <v>3445.16</v>
      </c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95">
        <v>2583.9</v>
      </c>
      <c r="R137" s="95">
        <f>+C137-Q137</f>
        <v>861.25999999999976</v>
      </c>
      <c r="S137" s="95">
        <v>861.26</v>
      </c>
      <c r="T137" s="97">
        <f>+R137-S137</f>
        <v>0</v>
      </c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  <c r="AF137" s="97"/>
      <c r="AG137" s="9"/>
      <c r="AH137" s="9"/>
      <c r="AI137" s="9"/>
      <c r="AJ137" s="9"/>
    </row>
    <row r="138" spans="1:36" ht="16.5"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95"/>
      <c r="T138" s="2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  <c r="AF138" s="97"/>
      <c r="AG138" s="9"/>
      <c r="AH138" s="9"/>
      <c r="AI138" s="9"/>
      <c r="AJ138" s="9"/>
    </row>
    <row r="139" spans="1:36" ht="16.5">
      <c r="A139" s="19">
        <v>43174</v>
      </c>
      <c r="B139" s="15" t="s">
        <v>137</v>
      </c>
      <c r="C139" s="95">
        <v>2839.36</v>
      </c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1">
        <v>1656.07</v>
      </c>
      <c r="R139" s="95">
        <f>+C139-Q139</f>
        <v>1183.2900000000002</v>
      </c>
      <c r="S139" s="95">
        <v>946.4</v>
      </c>
      <c r="T139" s="97">
        <f t="shared" ref="T139:T143" si="65">+R139-S139</f>
        <v>236.89000000000021</v>
      </c>
      <c r="U139" s="97">
        <v>78.87</v>
      </c>
      <c r="V139" s="97">
        <v>78.87</v>
      </c>
      <c r="W139" s="97">
        <v>79.150000000000006</v>
      </c>
      <c r="X139" s="97"/>
      <c r="Y139" s="97"/>
      <c r="Z139" s="97"/>
      <c r="AA139" s="97"/>
      <c r="AB139" s="97"/>
      <c r="AC139" s="97" t="s">
        <v>30</v>
      </c>
      <c r="AD139" s="97">
        <f>SUM(U139:AC139)</f>
        <v>236.89000000000001</v>
      </c>
      <c r="AE139" s="97">
        <f t="shared" ref="AE139:AE140" si="66">+T139-AD139</f>
        <v>0</v>
      </c>
      <c r="AF139" s="97"/>
      <c r="AG139" s="9"/>
      <c r="AH139" s="9"/>
      <c r="AI139" s="97">
        <f>+AD139+AF139+AG139+AH139</f>
        <v>236.89000000000001</v>
      </c>
      <c r="AJ139" s="97">
        <f>+T139-AI139</f>
        <v>0</v>
      </c>
    </row>
    <row r="140" spans="1:36" ht="16.5">
      <c r="A140" s="19">
        <v>43362</v>
      </c>
      <c r="B140" s="15" t="s">
        <v>96</v>
      </c>
      <c r="C140" s="95">
        <v>2418.39</v>
      </c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1">
        <v>1007.7</v>
      </c>
      <c r="R140" s="95">
        <f>+C140-Q140</f>
        <v>1410.6899999999998</v>
      </c>
      <c r="S140" s="95">
        <v>806.13</v>
      </c>
      <c r="T140" s="97">
        <f t="shared" si="65"/>
        <v>604.55999999999983</v>
      </c>
      <c r="U140" s="97">
        <v>67.8</v>
      </c>
      <c r="V140" s="97">
        <v>67.8</v>
      </c>
      <c r="W140" s="97">
        <v>67.8</v>
      </c>
      <c r="X140" s="97">
        <v>67.8</v>
      </c>
      <c r="Y140" s="97">
        <v>67.8</v>
      </c>
      <c r="Z140" s="97">
        <v>67.8</v>
      </c>
      <c r="AA140" s="97">
        <v>67.8</v>
      </c>
      <c r="AB140" s="97">
        <v>67.8</v>
      </c>
      <c r="AC140" s="97">
        <v>62.16</v>
      </c>
      <c r="AD140" s="97">
        <f>SUM(U140:AC140)</f>
        <v>604.55999999999995</v>
      </c>
      <c r="AE140" s="97">
        <f t="shared" si="66"/>
        <v>0</v>
      </c>
      <c r="AF140" s="97"/>
      <c r="AG140" s="9"/>
      <c r="AH140" s="9"/>
      <c r="AI140" s="97">
        <f t="shared" ref="AI140:AI143" si="67">+AD140+AF140+AG140+AH140</f>
        <v>604.55999999999995</v>
      </c>
      <c r="AJ140" s="97">
        <f t="shared" ref="AJ140:AJ143" si="68">+T140-AI140</f>
        <v>0</v>
      </c>
    </row>
    <row r="141" spans="1:36" ht="16.5">
      <c r="A141" s="19">
        <v>43388</v>
      </c>
      <c r="B141" s="15" t="s">
        <v>97</v>
      </c>
      <c r="C141" s="95">
        <v>2344</v>
      </c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1">
        <v>976.66</v>
      </c>
      <c r="R141" s="95">
        <f>+C141-Q141</f>
        <v>1367.3400000000001</v>
      </c>
      <c r="S141" s="95">
        <v>781.33</v>
      </c>
      <c r="T141" s="97">
        <f t="shared" si="65"/>
        <v>586.0100000000001</v>
      </c>
      <c r="U141" s="97">
        <v>65.11</v>
      </c>
      <c r="V141" s="97">
        <v>65.11</v>
      </c>
      <c r="W141" s="97">
        <v>0</v>
      </c>
      <c r="X141" s="97">
        <v>65.11</v>
      </c>
      <c r="Y141" s="97">
        <v>65.11</v>
      </c>
      <c r="Z141" s="97">
        <v>65.11</v>
      </c>
      <c r="AA141" s="97">
        <v>65.11</v>
      </c>
      <c r="AB141" s="97">
        <v>65.11</v>
      </c>
      <c r="AC141" s="97">
        <v>65.11</v>
      </c>
      <c r="AD141" s="97">
        <f>SUM(U141:AC141)</f>
        <v>520.88</v>
      </c>
      <c r="AE141" s="97">
        <f>+T141-AD141</f>
        <v>65.130000000000109</v>
      </c>
      <c r="AF141" s="97">
        <v>65.13</v>
      </c>
      <c r="AG141" s="102">
        <v>0</v>
      </c>
      <c r="AH141" s="102">
        <v>0</v>
      </c>
      <c r="AI141" s="97">
        <f t="shared" si="67"/>
        <v>586.01</v>
      </c>
      <c r="AJ141" s="97">
        <f t="shared" si="68"/>
        <v>0</v>
      </c>
    </row>
    <row r="142" spans="1:36" ht="16.5">
      <c r="A142" s="19">
        <v>43389</v>
      </c>
      <c r="B142" s="15" t="s">
        <v>98</v>
      </c>
      <c r="C142" s="95">
        <v>4588</v>
      </c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1">
        <v>1911.6</v>
      </c>
      <c r="R142" s="95">
        <f>+C142-Q142</f>
        <v>2676.4</v>
      </c>
      <c r="S142" s="95">
        <v>1529.33</v>
      </c>
      <c r="T142" s="97">
        <f t="shared" si="65"/>
        <v>1147.0700000000002</v>
      </c>
      <c r="U142" s="97">
        <v>127.44</v>
      </c>
      <c r="V142" s="97">
        <v>127.44</v>
      </c>
      <c r="W142" s="97">
        <v>127.44</v>
      </c>
      <c r="X142" s="97">
        <v>127.44</v>
      </c>
      <c r="Y142" s="97">
        <v>127.44</v>
      </c>
      <c r="Z142" s="97">
        <v>127.44</v>
      </c>
      <c r="AA142" s="97">
        <v>127.44</v>
      </c>
      <c r="AB142" s="97">
        <v>127.44</v>
      </c>
      <c r="AC142" s="97">
        <v>127.55</v>
      </c>
      <c r="AD142" s="97">
        <f>SUM(U142:AC142)</f>
        <v>1147.0700000000002</v>
      </c>
      <c r="AE142" s="97">
        <f>+T142-AD142</f>
        <v>0</v>
      </c>
      <c r="AF142" s="97"/>
      <c r="AG142" s="9"/>
      <c r="AH142" s="9"/>
      <c r="AI142" s="97">
        <f t="shared" si="67"/>
        <v>1147.0700000000002</v>
      </c>
      <c r="AJ142" s="97">
        <f t="shared" si="68"/>
        <v>0</v>
      </c>
    </row>
    <row r="143" spans="1:36" ht="16.5">
      <c r="A143" s="19">
        <v>43435</v>
      </c>
      <c r="B143" s="15" t="s">
        <v>100</v>
      </c>
      <c r="C143" s="95">
        <v>3865</v>
      </c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1">
        <v>1288.33</v>
      </c>
      <c r="R143" s="95">
        <f>+C143-Q143</f>
        <v>2576.67</v>
      </c>
      <c r="S143" s="95">
        <v>1288.33</v>
      </c>
      <c r="T143" s="97">
        <f t="shared" si="65"/>
        <v>1288.3400000000001</v>
      </c>
      <c r="U143" s="97">
        <v>107.36</v>
      </c>
      <c r="V143" s="97">
        <v>107.36</v>
      </c>
      <c r="W143" s="97">
        <v>107.36</v>
      </c>
      <c r="X143" s="97">
        <v>107.36</v>
      </c>
      <c r="Y143" s="97">
        <v>107.36</v>
      </c>
      <c r="Z143" s="97">
        <v>107.36</v>
      </c>
      <c r="AA143" s="97">
        <v>107.36</v>
      </c>
      <c r="AB143" s="97">
        <v>107.36</v>
      </c>
      <c r="AC143" s="97">
        <v>107.36</v>
      </c>
      <c r="AD143" s="97">
        <f>SUM(U143:AC143)</f>
        <v>966.24</v>
      </c>
      <c r="AE143" s="97">
        <f>+T143-AD143</f>
        <v>322.10000000000014</v>
      </c>
      <c r="AF143" s="97">
        <v>107.36</v>
      </c>
      <c r="AG143" s="102">
        <v>107.36</v>
      </c>
      <c r="AH143" s="102">
        <v>107.38</v>
      </c>
      <c r="AI143" s="97">
        <f t="shared" si="67"/>
        <v>1288.3399999999997</v>
      </c>
      <c r="AJ143" s="97">
        <f t="shared" si="68"/>
        <v>0</v>
      </c>
    </row>
    <row r="144" spans="1:36" ht="16.5">
      <c r="A144" s="81" t="s">
        <v>30</v>
      </c>
      <c r="B144" s="30"/>
      <c r="C144" s="95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95"/>
      <c r="T144" s="2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  <c r="AF144" s="97"/>
      <c r="AG144" s="9"/>
      <c r="AH144" s="9"/>
      <c r="AI144" s="97" t="s">
        <v>30</v>
      </c>
      <c r="AJ144" s="97" t="s">
        <v>30</v>
      </c>
    </row>
    <row r="145" spans="1:36" ht="16.5">
      <c r="A145" s="19">
        <v>43684</v>
      </c>
      <c r="B145" s="15" t="s">
        <v>101</v>
      </c>
      <c r="C145" s="95">
        <v>2190</v>
      </c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>
        <v>243.33</v>
      </c>
      <c r="R145" s="95">
        <f t="shared" ref="R145:R146" si="69">+C145-Q145</f>
        <v>1946.67</v>
      </c>
      <c r="S145" s="95">
        <v>730</v>
      </c>
      <c r="T145" s="97">
        <f t="shared" ref="T145:T146" si="70">+R145-S145</f>
        <v>1216.67</v>
      </c>
      <c r="U145" s="97">
        <v>60.83</v>
      </c>
      <c r="V145" s="97">
        <v>60.83</v>
      </c>
      <c r="W145" s="97">
        <v>60.83</v>
      </c>
      <c r="X145" s="97">
        <v>60.83</v>
      </c>
      <c r="Y145" s="97">
        <v>60.83</v>
      </c>
      <c r="Z145" s="97">
        <v>60.83</v>
      </c>
      <c r="AA145" s="97">
        <v>60.83</v>
      </c>
      <c r="AB145" s="97">
        <v>60.83</v>
      </c>
      <c r="AC145" s="97">
        <v>60.83</v>
      </c>
      <c r="AD145" s="97">
        <f t="shared" ref="AD145:AD146" si="71">SUM(U145:AC145)</f>
        <v>547.46999999999991</v>
      </c>
      <c r="AE145" s="97">
        <f t="shared" ref="AE145:AE146" si="72">+T145-AD145</f>
        <v>669.20000000000016</v>
      </c>
      <c r="AF145" s="97">
        <v>60.83</v>
      </c>
      <c r="AG145" s="97">
        <v>60.83</v>
      </c>
      <c r="AH145" s="97">
        <v>60.83</v>
      </c>
      <c r="AI145" s="97">
        <f t="shared" ref="AI145:AI146" si="73">+AD145+AF145+AG145+AH145</f>
        <v>729.96</v>
      </c>
      <c r="AJ145" s="97">
        <f t="shared" ref="AJ145:AJ146" si="74">+T145-AI145</f>
        <v>486.71000000000004</v>
      </c>
    </row>
    <row r="146" spans="1:36" ht="16.5">
      <c r="A146" s="93">
        <v>43794</v>
      </c>
      <c r="B146" s="15" t="s">
        <v>106</v>
      </c>
      <c r="C146" s="96">
        <v>2079</v>
      </c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6">
        <v>0</v>
      </c>
      <c r="R146" s="96">
        <f t="shared" si="69"/>
        <v>2079</v>
      </c>
      <c r="S146" s="95">
        <v>693</v>
      </c>
      <c r="T146" s="97">
        <f t="shared" si="70"/>
        <v>1386</v>
      </c>
      <c r="U146" s="97">
        <v>57.75</v>
      </c>
      <c r="V146" s="97">
        <v>57.75</v>
      </c>
      <c r="W146" s="97">
        <v>57.75</v>
      </c>
      <c r="X146" s="97">
        <v>57.75</v>
      </c>
      <c r="Y146" s="97">
        <v>57.75</v>
      </c>
      <c r="Z146" s="97">
        <v>57.75</v>
      </c>
      <c r="AA146" s="97">
        <v>57.75</v>
      </c>
      <c r="AB146" s="97">
        <v>57.75</v>
      </c>
      <c r="AC146" s="97">
        <v>57.75</v>
      </c>
      <c r="AD146" s="97">
        <f t="shared" si="71"/>
        <v>519.75</v>
      </c>
      <c r="AE146" s="97">
        <f t="shared" si="72"/>
        <v>866.25</v>
      </c>
      <c r="AF146" s="97">
        <v>57.75</v>
      </c>
      <c r="AG146" s="97">
        <v>57.75</v>
      </c>
      <c r="AH146" s="97">
        <v>57.75</v>
      </c>
      <c r="AI146" s="97">
        <f t="shared" si="73"/>
        <v>693</v>
      </c>
      <c r="AJ146" s="97">
        <f t="shared" si="74"/>
        <v>693</v>
      </c>
    </row>
    <row r="147" spans="1:36" ht="17.25" thickBot="1">
      <c r="A147" s="9"/>
      <c r="B147" s="17"/>
      <c r="C147" s="105">
        <f>SUM(C89:C146)</f>
        <v>84241.19</v>
      </c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5">
        <f t="shared" ref="Q147:T147" si="75">SUM(Q89:Q146)</f>
        <v>70139.870000000024</v>
      </c>
      <c r="R147" s="105">
        <f t="shared" si="75"/>
        <v>14101.32</v>
      </c>
      <c r="S147" s="125">
        <f t="shared" si="75"/>
        <v>7635.78</v>
      </c>
      <c r="T147" s="125">
        <f t="shared" si="75"/>
        <v>6465.5400000000009</v>
      </c>
      <c r="U147" s="131">
        <f>SUM(U139:U146)</f>
        <v>565.16000000000008</v>
      </c>
      <c r="V147" s="131">
        <f t="shared" ref="V147:AJ147" si="76">SUM(V139:V146)</f>
        <v>565.16000000000008</v>
      </c>
      <c r="W147" s="131">
        <f t="shared" si="76"/>
        <v>500.33</v>
      </c>
      <c r="X147" s="131">
        <f t="shared" si="76"/>
        <v>486.29</v>
      </c>
      <c r="Y147" s="131">
        <f t="shared" si="76"/>
        <v>486.29</v>
      </c>
      <c r="Z147" s="131">
        <f t="shared" si="76"/>
        <v>486.29</v>
      </c>
      <c r="AA147" s="131">
        <f t="shared" si="76"/>
        <v>486.29</v>
      </c>
      <c r="AB147" s="131">
        <f t="shared" si="76"/>
        <v>486.29</v>
      </c>
      <c r="AC147" s="131">
        <f t="shared" si="76"/>
        <v>480.76</v>
      </c>
      <c r="AD147" s="131">
        <f t="shared" si="76"/>
        <v>4542.8600000000006</v>
      </c>
      <c r="AE147" s="131">
        <f t="shared" si="76"/>
        <v>1922.6800000000003</v>
      </c>
      <c r="AF147" s="131">
        <f t="shared" si="76"/>
        <v>291.07</v>
      </c>
      <c r="AG147" s="131">
        <f t="shared" si="76"/>
        <v>225.94</v>
      </c>
      <c r="AH147" s="131">
        <f t="shared" si="76"/>
        <v>225.95999999999998</v>
      </c>
      <c r="AI147" s="131">
        <f t="shared" si="76"/>
        <v>5285.83</v>
      </c>
      <c r="AJ147" s="131">
        <f t="shared" si="76"/>
        <v>1179.71</v>
      </c>
    </row>
    <row r="148" spans="1:36" ht="18" thickTop="1" thickBot="1">
      <c r="A148" s="9"/>
      <c r="B148" s="9"/>
      <c r="C148" s="31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95"/>
      <c r="T148" s="22"/>
      <c r="U148" s="18" t="s">
        <v>166</v>
      </c>
      <c r="V148" s="18" t="s">
        <v>167</v>
      </c>
      <c r="W148" s="18" t="s">
        <v>168</v>
      </c>
      <c r="X148" s="18" t="s">
        <v>169</v>
      </c>
      <c r="Y148" s="18" t="s">
        <v>170</v>
      </c>
      <c r="Z148" s="18" t="s">
        <v>171</v>
      </c>
      <c r="AA148" s="18" t="s">
        <v>172</v>
      </c>
      <c r="AB148" s="18" t="s">
        <v>173</v>
      </c>
      <c r="AC148" s="18" t="s">
        <v>175</v>
      </c>
      <c r="AD148" s="18" t="s">
        <v>174</v>
      </c>
      <c r="AE148" s="18" t="s">
        <v>176</v>
      </c>
      <c r="AF148" s="150" t="s">
        <v>188</v>
      </c>
      <c r="AG148" s="150" t="s">
        <v>189</v>
      </c>
      <c r="AH148" s="150" t="s">
        <v>190</v>
      </c>
      <c r="AI148" s="18" t="s">
        <v>174</v>
      </c>
      <c r="AJ148" s="18" t="s">
        <v>176</v>
      </c>
    </row>
    <row r="149" spans="1:36" ht="15.75" thickBot="1">
      <c r="A149" s="9"/>
      <c r="B149" s="9"/>
      <c r="C149" s="83" t="s">
        <v>202</v>
      </c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83" t="s">
        <v>202</v>
      </c>
      <c r="R149" s="27"/>
      <c r="S149" s="27"/>
      <c r="T149" s="22"/>
      <c r="U149" s="184" t="s">
        <v>177</v>
      </c>
      <c r="V149" s="185"/>
      <c r="W149" s="185"/>
      <c r="X149" s="185"/>
      <c r="Y149" s="185"/>
      <c r="Z149" s="185"/>
      <c r="AA149" s="185"/>
      <c r="AB149" s="185"/>
      <c r="AC149" s="185"/>
      <c r="AD149" s="185"/>
      <c r="AE149" s="185"/>
      <c r="AF149" s="185"/>
      <c r="AG149" s="185"/>
      <c r="AH149" s="186"/>
      <c r="AI149" s="9"/>
      <c r="AJ149" s="9"/>
    </row>
    <row r="150" spans="1:36" ht="16.5">
      <c r="A150" s="9"/>
      <c r="B150" s="152" t="s">
        <v>196</v>
      </c>
      <c r="C150" s="154" t="s">
        <v>197</v>
      </c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4" t="s">
        <v>201</v>
      </c>
      <c r="R150" s="22"/>
      <c r="S150" s="22"/>
      <c r="T150" s="22"/>
      <c r="U150" s="97">
        <f>+$T$63-U147</f>
        <v>5900.380000000001</v>
      </c>
      <c r="V150" s="97">
        <f>+U150-V147</f>
        <v>5335.2200000000012</v>
      </c>
      <c r="W150" s="97">
        <f>+V150-W147</f>
        <v>4834.8900000000012</v>
      </c>
      <c r="X150" s="97">
        <f t="shared" ref="X150" si="77">+W150-X147</f>
        <v>4348.6000000000013</v>
      </c>
      <c r="Y150" s="97">
        <f t="shared" ref="Y150" si="78">+X150-Y147</f>
        <v>3862.3100000000013</v>
      </c>
      <c r="Z150" s="97">
        <f t="shared" ref="Z150" si="79">+Y150-Z147</f>
        <v>3376.0200000000013</v>
      </c>
      <c r="AA150" s="97">
        <f t="shared" ref="AA150" si="80">+Z150-AA147</f>
        <v>2889.7300000000014</v>
      </c>
      <c r="AB150" s="97">
        <f t="shared" ref="AB150" si="81">+AA150-AB147</f>
        <v>2403.4400000000014</v>
      </c>
      <c r="AC150" s="97">
        <f t="shared" ref="AC150" si="82">+AB150-AC147</f>
        <v>1922.6800000000014</v>
      </c>
      <c r="AD150" s="97"/>
      <c r="AE150" s="97"/>
      <c r="AF150" s="97">
        <f>+AC150-AF147</f>
        <v>1631.6100000000015</v>
      </c>
      <c r="AG150" s="97">
        <f>+AF150-AG147</f>
        <v>1405.6700000000014</v>
      </c>
      <c r="AH150" s="97">
        <f>+AG150-AH147</f>
        <v>1179.7100000000014</v>
      </c>
      <c r="AI150" s="11" t="s">
        <v>30</v>
      </c>
      <c r="AJ150" s="9"/>
    </row>
    <row r="151" spans="1:36" ht="16.5">
      <c r="A151" s="9"/>
      <c r="B151" s="153" t="s">
        <v>198</v>
      </c>
      <c r="C151" s="101">
        <v>70139.87</v>
      </c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101">
        <f>+C151</f>
        <v>70139.87</v>
      </c>
      <c r="R151" s="101"/>
      <c r="S151" s="27"/>
      <c r="T151" s="2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  <c r="AF151" s="97"/>
      <c r="AG151" s="9"/>
      <c r="AH151" s="9"/>
      <c r="AI151" s="9"/>
      <c r="AJ151" s="9"/>
    </row>
    <row r="152" spans="1:36" ht="16.5">
      <c r="A152" s="9"/>
      <c r="B152" s="153" t="s">
        <v>199</v>
      </c>
      <c r="C152" s="101">
        <v>7635.78</v>
      </c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101">
        <f>+Q151+C152</f>
        <v>77775.649999999994</v>
      </c>
      <c r="R152" s="101"/>
      <c r="S152" s="27"/>
      <c r="T152" s="2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"/>
      <c r="AH152" s="9"/>
      <c r="AI152" s="9"/>
      <c r="AJ152" s="9"/>
    </row>
    <row r="153" spans="1:36" ht="16.5">
      <c r="A153" s="9"/>
      <c r="B153" s="153" t="s">
        <v>200</v>
      </c>
      <c r="C153" s="101">
        <v>5059.87</v>
      </c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101">
        <f>+Q152+C153</f>
        <v>82835.51999999999</v>
      </c>
      <c r="R153" s="101"/>
      <c r="S153" s="27"/>
      <c r="T153" s="2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"/>
      <c r="AH153" s="9"/>
      <c r="AI153" s="9"/>
      <c r="AJ153" s="9"/>
    </row>
  </sheetData>
  <mergeCells count="4">
    <mergeCell ref="U70:AH70"/>
    <mergeCell ref="U87:AD87"/>
    <mergeCell ref="U149:AH149"/>
    <mergeCell ref="U3:AH3"/>
  </mergeCells>
  <pageMargins left="0.98425196850393704" right="0.70866141732283472" top="0.53" bottom="0.44" header="0.31496062992125984" footer="0.31496062992125984"/>
  <pageSetup paperSize="9" scale="42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76"/>
  <sheetViews>
    <sheetView topLeftCell="A40" workbookViewId="0">
      <selection activeCell="C66" sqref="C66"/>
    </sheetView>
  </sheetViews>
  <sheetFormatPr baseColWidth="10" defaultRowHeight="15"/>
  <cols>
    <col min="1" max="1" width="11.42578125" customWidth="1"/>
    <col min="2" max="2" width="29.7109375" customWidth="1"/>
    <col min="3" max="4" width="11.7109375" style="1" customWidth="1"/>
    <col min="5" max="5" width="11.5703125" style="1" customWidth="1"/>
    <col min="6" max="6" width="10.28515625" customWidth="1"/>
    <col min="7" max="7" width="10" customWidth="1"/>
    <col min="8" max="16" width="8.42578125" customWidth="1"/>
    <col min="17" max="17" width="9.5703125" customWidth="1"/>
    <col min="18" max="18" width="9.7109375" customWidth="1"/>
  </cols>
  <sheetData>
    <row r="1" spans="1:23">
      <c r="A1" s="26" t="s">
        <v>31</v>
      </c>
    </row>
    <row r="2" spans="1:23" ht="15.75" thickBot="1">
      <c r="A2" s="26" t="s">
        <v>108</v>
      </c>
    </row>
    <row r="3" spans="1:23" ht="15.75" thickBot="1">
      <c r="A3" s="26" t="s">
        <v>179</v>
      </c>
      <c r="E3" s="13" t="s">
        <v>77</v>
      </c>
      <c r="G3" s="13" t="s">
        <v>77</v>
      </c>
      <c r="H3" s="184" t="s">
        <v>177</v>
      </c>
      <c r="I3" s="185"/>
      <c r="J3" s="185"/>
      <c r="K3" s="185"/>
      <c r="L3" s="185"/>
      <c r="M3" s="185"/>
      <c r="N3" s="185"/>
      <c r="O3" s="185"/>
      <c r="P3" s="185"/>
      <c r="Q3" s="186"/>
    </row>
    <row r="4" spans="1:23" ht="30">
      <c r="A4" s="82" t="s">
        <v>104</v>
      </c>
      <c r="B4" s="82" t="s">
        <v>103</v>
      </c>
      <c r="C4" s="18" t="s">
        <v>33</v>
      </c>
      <c r="D4" s="18" t="s">
        <v>107</v>
      </c>
      <c r="E4" s="18" t="s">
        <v>71</v>
      </c>
      <c r="F4" s="18" t="s">
        <v>147</v>
      </c>
      <c r="G4" s="18" t="s">
        <v>71</v>
      </c>
      <c r="H4" s="18" t="s">
        <v>166</v>
      </c>
      <c r="I4" s="18" t="s">
        <v>167</v>
      </c>
      <c r="J4" s="18" t="s">
        <v>168</v>
      </c>
      <c r="K4" s="18" t="s">
        <v>169</v>
      </c>
      <c r="L4" s="18" t="s">
        <v>170</v>
      </c>
      <c r="M4" s="18" t="s">
        <v>171</v>
      </c>
      <c r="N4" s="18" t="s">
        <v>172</v>
      </c>
      <c r="O4" s="18" t="s">
        <v>173</v>
      </c>
      <c r="P4" s="18" t="s">
        <v>175</v>
      </c>
      <c r="Q4" s="18" t="s">
        <v>174</v>
      </c>
      <c r="S4" s="18" t="s">
        <v>188</v>
      </c>
      <c r="T4" s="18" t="s">
        <v>189</v>
      </c>
      <c r="U4" s="18" t="s">
        <v>190</v>
      </c>
      <c r="V4" s="18" t="s">
        <v>174</v>
      </c>
      <c r="W4" s="18" t="s">
        <v>176</v>
      </c>
    </row>
    <row r="5" spans="1:23">
      <c r="B5" s="121" t="s">
        <v>54</v>
      </c>
      <c r="C5" s="107">
        <f>19444.76+534.76</f>
        <v>19979.519999999997</v>
      </c>
      <c r="D5" s="107">
        <f>19444.756+534.76</f>
        <v>19979.516</v>
      </c>
      <c r="E5" s="107">
        <f>+C5-D5</f>
        <v>3.9999999971769284E-3</v>
      </c>
      <c r="G5" s="107">
        <f>+E5</f>
        <v>3.9999999971769284E-3</v>
      </c>
    </row>
    <row r="6" spans="1:23" ht="16.5">
      <c r="A6" s="132">
        <v>38485</v>
      </c>
      <c r="B6" s="121" t="s">
        <v>45</v>
      </c>
      <c r="C6" s="107">
        <v>136.12</v>
      </c>
      <c r="D6" s="107">
        <v>136.1163333333333</v>
      </c>
      <c r="E6" s="107">
        <f t="shared" ref="E6:E56" si="0">+C6-D6</f>
        <v>3.6666666667031222E-3</v>
      </c>
      <c r="G6" s="107">
        <f t="shared" ref="G6:G14" si="1">+E6</f>
        <v>3.6666666667031222E-3</v>
      </c>
    </row>
    <row r="7" spans="1:23" ht="16.5">
      <c r="A7" s="132">
        <v>38580</v>
      </c>
      <c r="B7" s="121" t="s">
        <v>46</v>
      </c>
      <c r="C7" s="107">
        <v>244.2</v>
      </c>
      <c r="D7" s="107">
        <v>244.19999999999993</v>
      </c>
      <c r="E7" s="107">
        <f t="shared" si="0"/>
        <v>0</v>
      </c>
      <c r="G7" s="107">
        <f t="shared" si="1"/>
        <v>0</v>
      </c>
    </row>
    <row r="8" spans="1:23" ht="16.5">
      <c r="A8" s="132">
        <v>38588</v>
      </c>
      <c r="B8" s="121" t="s">
        <v>47</v>
      </c>
      <c r="C8" s="107">
        <v>1691.62</v>
      </c>
      <c r="D8" s="107">
        <v>1691.6233333333334</v>
      </c>
      <c r="E8" s="107">
        <f t="shared" si="0"/>
        <v>-3.3333333335576754E-3</v>
      </c>
      <c r="G8" s="107">
        <f t="shared" si="1"/>
        <v>-3.3333333335576754E-3</v>
      </c>
    </row>
    <row r="9" spans="1:23" ht="16.5">
      <c r="A9" s="132">
        <v>38592</v>
      </c>
      <c r="B9" s="121" t="s">
        <v>48</v>
      </c>
      <c r="C9" s="107">
        <v>297</v>
      </c>
      <c r="D9" s="107">
        <v>296.99999999999994</v>
      </c>
      <c r="E9" s="107">
        <f t="shared" si="0"/>
        <v>0</v>
      </c>
      <c r="G9" s="107">
        <f t="shared" si="1"/>
        <v>0</v>
      </c>
    </row>
    <row r="10" spans="1:23" ht="16.5">
      <c r="A10" s="132">
        <v>38594</v>
      </c>
      <c r="B10" s="121" t="s">
        <v>49</v>
      </c>
      <c r="C10" s="107">
        <v>71.34</v>
      </c>
      <c r="D10" s="107">
        <v>71.34</v>
      </c>
      <c r="E10" s="107">
        <f t="shared" si="0"/>
        <v>0</v>
      </c>
      <c r="G10" s="107">
        <f t="shared" si="1"/>
        <v>0</v>
      </c>
    </row>
    <row r="11" spans="1:23" ht="16.5">
      <c r="A11" s="132">
        <v>38607</v>
      </c>
      <c r="B11" s="121" t="s">
        <v>50</v>
      </c>
      <c r="C11" s="107">
        <v>78.3</v>
      </c>
      <c r="D11" s="107">
        <v>78.297499999999999</v>
      </c>
      <c r="E11" s="107">
        <f t="shared" si="0"/>
        <v>2.4999999999977263E-3</v>
      </c>
      <c r="G11" s="107">
        <f t="shared" si="1"/>
        <v>2.4999999999977263E-3</v>
      </c>
    </row>
    <row r="12" spans="1:23" ht="16.5">
      <c r="A12" s="132">
        <v>38609</v>
      </c>
      <c r="B12" s="121" t="s">
        <v>51</v>
      </c>
      <c r="C12" s="107">
        <v>880</v>
      </c>
      <c r="D12" s="107">
        <v>880</v>
      </c>
      <c r="E12" s="107">
        <f t="shared" si="0"/>
        <v>0</v>
      </c>
      <c r="G12" s="107">
        <f t="shared" si="1"/>
        <v>0</v>
      </c>
    </row>
    <row r="13" spans="1:23" ht="16.5">
      <c r="A13" s="132">
        <v>38664</v>
      </c>
      <c r="B13" s="121" t="s">
        <v>52</v>
      </c>
      <c r="C13" s="107">
        <v>594</v>
      </c>
      <c r="D13" s="107">
        <v>594</v>
      </c>
      <c r="E13" s="107">
        <f t="shared" si="0"/>
        <v>0</v>
      </c>
      <c r="G13" s="107">
        <f t="shared" si="1"/>
        <v>0</v>
      </c>
    </row>
    <row r="14" spans="1:23" ht="16.5">
      <c r="A14" s="132">
        <v>38698</v>
      </c>
      <c r="B14" s="121" t="s">
        <v>53</v>
      </c>
      <c r="C14" s="107">
        <v>645.94000000000005</v>
      </c>
      <c r="D14" s="107">
        <v>645.94200000000001</v>
      </c>
      <c r="E14" s="107">
        <f t="shared" si="0"/>
        <v>-1.9999999999527063E-3</v>
      </c>
      <c r="G14" s="107">
        <f t="shared" si="1"/>
        <v>-1.9999999999527063E-3</v>
      </c>
    </row>
    <row r="15" spans="1:23" ht="16.5">
      <c r="A15" s="133"/>
      <c r="B15" s="121"/>
      <c r="C15" s="107"/>
      <c r="D15" s="107"/>
      <c r="E15" s="107" t="s">
        <v>30</v>
      </c>
    </row>
    <row r="16" spans="1:23" ht="16.5">
      <c r="A16" s="134">
        <v>38918</v>
      </c>
      <c r="B16" s="121" t="s">
        <v>22</v>
      </c>
      <c r="C16" s="107">
        <v>579.97</v>
      </c>
      <c r="D16" s="107">
        <v>579.97</v>
      </c>
      <c r="E16" s="107">
        <f t="shared" si="0"/>
        <v>0</v>
      </c>
      <c r="G16" s="107">
        <f t="shared" ref="G16:G22" si="2">+E16</f>
        <v>0</v>
      </c>
    </row>
    <row r="17" spans="1:23" ht="16.5">
      <c r="A17" s="134">
        <v>38925</v>
      </c>
      <c r="B17" s="121" t="s">
        <v>23</v>
      </c>
      <c r="C17" s="107">
        <v>165</v>
      </c>
      <c r="D17" s="107">
        <v>165</v>
      </c>
      <c r="E17" s="107">
        <f t="shared" si="0"/>
        <v>0</v>
      </c>
      <c r="G17" s="107">
        <f t="shared" si="2"/>
        <v>0</v>
      </c>
    </row>
    <row r="18" spans="1:23" ht="16.5">
      <c r="A18" s="134">
        <v>38980</v>
      </c>
      <c r="B18" s="121" t="s">
        <v>24</v>
      </c>
      <c r="C18" s="107">
        <v>106.25</v>
      </c>
      <c r="D18" s="107">
        <v>106.25</v>
      </c>
      <c r="E18" s="107">
        <f t="shared" si="0"/>
        <v>0</v>
      </c>
      <c r="G18" s="107">
        <f t="shared" si="2"/>
        <v>0</v>
      </c>
    </row>
    <row r="19" spans="1:23" ht="16.5">
      <c r="A19" s="134">
        <v>38987</v>
      </c>
      <c r="B19" s="121" t="s">
        <v>25</v>
      </c>
      <c r="C19" s="107">
        <v>445.76</v>
      </c>
      <c r="D19" s="107">
        <v>445.76</v>
      </c>
      <c r="E19" s="107">
        <f t="shared" si="0"/>
        <v>0</v>
      </c>
      <c r="G19" s="107">
        <f t="shared" si="2"/>
        <v>0</v>
      </c>
    </row>
    <row r="20" spans="1:23" ht="16.5">
      <c r="A20" s="134">
        <v>38999</v>
      </c>
      <c r="B20" s="121" t="s">
        <v>26</v>
      </c>
      <c r="C20" s="107">
        <v>206.22</v>
      </c>
      <c r="D20" s="107">
        <v>206.22</v>
      </c>
      <c r="E20" s="107">
        <f t="shared" si="0"/>
        <v>0</v>
      </c>
      <c r="G20" s="107">
        <f t="shared" si="2"/>
        <v>0</v>
      </c>
    </row>
    <row r="21" spans="1:23" ht="16.5">
      <c r="A21" s="134">
        <v>39030</v>
      </c>
      <c r="B21" s="121" t="s">
        <v>27</v>
      </c>
      <c r="C21" s="107">
        <v>197.93</v>
      </c>
      <c r="D21" s="107">
        <v>197.93</v>
      </c>
      <c r="E21" s="107">
        <f t="shared" si="0"/>
        <v>0</v>
      </c>
      <c r="G21" s="107">
        <f t="shared" si="2"/>
        <v>0</v>
      </c>
    </row>
    <row r="22" spans="1:23" ht="16.5">
      <c r="A22" s="134">
        <v>39042</v>
      </c>
      <c r="B22" s="121" t="s">
        <v>28</v>
      </c>
      <c r="C22" s="107">
        <v>598.29999999999995</v>
      </c>
      <c r="D22" s="107">
        <v>598.29999999999995</v>
      </c>
      <c r="E22" s="107">
        <f t="shared" si="0"/>
        <v>0</v>
      </c>
      <c r="G22" s="107">
        <f t="shared" si="2"/>
        <v>0</v>
      </c>
    </row>
    <row r="23" spans="1:23" ht="16.5">
      <c r="A23" s="134"/>
      <c r="B23" s="121"/>
      <c r="C23" s="107"/>
      <c r="D23" s="107"/>
      <c r="E23" s="107" t="s">
        <v>30</v>
      </c>
    </row>
    <row r="24" spans="1:23" ht="16.5">
      <c r="A24" s="134">
        <v>39456</v>
      </c>
      <c r="B24" s="121" t="s">
        <v>124</v>
      </c>
      <c r="C24" s="107">
        <v>260</v>
      </c>
      <c r="D24" s="107">
        <v>260</v>
      </c>
      <c r="E24" s="107">
        <f t="shared" si="0"/>
        <v>0</v>
      </c>
      <c r="G24" s="107">
        <f t="shared" ref="G24:G27" si="3">+E24</f>
        <v>0</v>
      </c>
    </row>
    <row r="25" spans="1:23" ht="16.5">
      <c r="A25" s="134">
        <v>39507</v>
      </c>
      <c r="B25" s="121" t="s">
        <v>125</v>
      </c>
      <c r="C25" s="107">
        <v>411.6</v>
      </c>
      <c r="D25" s="107">
        <v>411.6</v>
      </c>
      <c r="E25" s="107">
        <f t="shared" si="0"/>
        <v>0</v>
      </c>
      <c r="G25" s="107">
        <f t="shared" si="3"/>
        <v>0</v>
      </c>
    </row>
    <row r="26" spans="1:23" ht="16.5">
      <c r="A26" s="134">
        <v>39615</v>
      </c>
      <c r="B26" s="121" t="s">
        <v>29</v>
      </c>
      <c r="C26" s="107">
        <v>1408.45</v>
      </c>
      <c r="D26" s="107">
        <v>1408.45</v>
      </c>
      <c r="E26" s="107">
        <f t="shared" si="0"/>
        <v>0</v>
      </c>
      <c r="G26" s="107">
        <f t="shared" si="3"/>
        <v>0</v>
      </c>
    </row>
    <row r="27" spans="1:23" ht="16.5">
      <c r="A27" s="134">
        <v>39665</v>
      </c>
      <c r="B27" s="121" t="s">
        <v>126</v>
      </c>
      <c r="C27" s="107">
        <v>164.25</v>
      </c>
      <c r="D27" s="107">
        <v>164.25000000000003</v>
      </c>
      <c r="E27" s="107">
        <f t="shared" si="0"/>
        <v>0</v>
      </c>
      <c r="G27" s="107">
        <f t="shared" si="3"/>
        <v>0</v>
      </c>
    </row>
    <row r="28" spans="1:23" ht="16.5">
      <c r="A28" s="134"/>
      <c r="B28" s="121"/>
      <c r="C28" s="107"/>
      <c r="D28" s="107"/>
      <c r="E28" s="107" t="s">
        <v>30</v>
      </c>
      <c r="H28" s="18" t="s">
        <v>166</v>
      </c>
      <c r="I28" s="18" t="s">
        <v>167</v>
      </c>
      <c r="J28" s="18" t="s">
        <v>168</v>
      </c>
      <c r="K28" s="18" t="s">
        <v>169</v>
      </c>
      <c r="L28" s="18" t="s">
        <v>170</v>
      </c>
      <c r="M28" s="18" t="s">
        <v>171</v>
      </c>
      <c r="N28" s="18" t="s">
        <v>172</v>
      </c>
      <c r="O28" s="18" t="s">
        <v>173</v>
      </c>
      <c r="P28" s="18" t="s">
        <v>175</v>
      </c>
      <c r="Q28" s="18" t="s">
        <v>174</v>
      </c>
      <c r="S28" s="18" t="s">
        <v>188</v>
      </c>
      <c r="T28" s="18" t="s">
        <v>189</v>
      </c>
      <c r="U28" s="18" t="s">
        <v>190</v>
      </c>
      <c r="V28" s="18" t="s">
        <v>174</v>
      </c>
      <c r="W28" s="18" t="s">
        <v>176</v>
      </c>
    </row>
    <row r="29" spans="1:23" ht="16.5">
      <c r="A29" s="134">
        <v>40571</v>
      </c>
      <c r="B29" s="121" t="s">
        <v>4</v>
      </c>
      <c r="C29" s="107">
        <v>692.85</v>
      </c>
      <c r="D29" s="107">
        <v>617.66</v>
      </c>
      <c r="E29" s="107">
        <f t="shared" si="0"/>
        <v>75.190000000000055</v>
      </c>
      <c r="F29" s="107">
        <v>69.290000000000006</v>
      </c>
      <c r="G29" s="107">
        <f>+E29-F29</f>
        <v>5.9000000000000483</v>
      </c>
      <c r="H29" s="107">
        <v>5.9</v>
      </c>
      <c r="Q29" s="107">
        <f>SUM(H29:P29)</f>
        <v>5.9</v>
      </c>
      <c r="R29" s="107">
        <f>+G29-Q29</f>
        <v>4.7961634663806763E-14</v>
      </c>
      <c r="V29" s="107">
        <f t="shared" ref="V29:V39" si="4">+Q29+S29+T29+U29</f>
        <v>5.9</v>
      </c>
      <c r="W29" s="107">
        <f t="shared" ref="W29:W39" si="5">+G29-V29</f>
        <v>4.7961634663806763E-14</v>
      </c>
    </row>
    <row r="30" spans="1:23" ht="16.5">
      <c r="A30" s="134">
        <v>40582</v>
      </c>
      <c r="B30" s="121" t="s">
        <v>6</v>
      </c>
      <c r="C30" s="107">
        <v>270</v>
      </c>
      <c r="D30" s="107">
        <v>240.1</v>
      </c>
      <c r="E30" s="107">
        <f t="shared" si="0"/>
        <v>29.900000000000006</v>
      </c>
      <c r="F30" s="107">
        <v>27</v>
      </c>
      <c r="G30" s="107">
        <f t="shared" ref="G30:G38" si="6">+E30-F30</f>
        <v>2.9000000000000057</v>
      </c>
      <c r="H30" s="107">
        <v>2.9</v>
      </c>
      <c r="Q30" s="107">
        <f t="shared" ref="Q30:Q63" si="7">SUM(H30:P30)</f>
        <v>2.9</v>
      </c>
      <c r="R30" s="107">
        <f t="shared" ref="R30:R63" si="8">+G30-Q30</f>
        <v>5.773159728050814E-15</v>
      </c>
      <c r="V30" s="107">
        <f t="shared" si="4"/>
        <v>2.9</v>
      </c>
      <c r="W30" s="107">
        <f t="shared" si="5"/>
        <v>5.773159728050814E-15</v>
      </c>
    </row>
    <row r="31" spans="1:23" ht="16.5">
      <c r="A31" s="134">
        <v>40590</v>
      </c>
      <c r="B31" s="121" t="s">
        <v>6</v>
      </c>
      <c r="C31" s="107">
        <v>171</v>
      </c>
      <c r="D31" s="107">
        <v>151.88</v>
      </c>
      <c r="E31" s="107">
        <f t="shared" si="0"/>
        <v>19.120000000000005</v>
      </c>
      <c r="F31" s="107">
        <v>17.100000000000001</v>
      </c>
      <c r="G31" s="107">
        <f t="shared" si="6"/>
        <v>2.0200000000000031</v>
      </c>
      <c r="H31" s="107">
        <v>2.02</v>
      </c>
      <c r="Q31" s="107">
        <f t="shared" si="7"/>
        <v>2.02</v>
      </c>
      <c r="R31" s="107">
        <f t="shared" si="8"/>
        <v>0</v>
      </c>
      <c r="V31" s="107">
        <f t="shared" si="4"/>
        <v>2.02</v>
      </c>
      <c r="W31" s="107">
        <f t="shared" si="5"/>
        <v>0</v>
      </c>
    </row>
    <row r="32" spans="1:23" ht="16.5">
      <c r="A32" s="134">
        <v>40679</v>
      </c>
      <c r="B32" s="121" t="s">
        <v>5</v>
      </c>
      <c r="C32" s="107">
        <v>932.15</v>
      </c>
      <c r="D32" s="107">
        <v>803.95</v>
      </c>
      <c r="E32" s="107">
        <f t="shared" si="0"/>
        <v>128.19999999999993</v>
      </c>
      <c r="F32" s="107">
        <v>93.22</v>
      </c>
      <c r="G32" s="107">
        <f t="shared" si="6"/>
        <v>34.979999999999933</v>
      </c>
      <c r="H32" s="107">
        <v>7.77</v>
      </c>
      <c r="I32" s="107">
        <v>7.77</v>
      </c>
      <c r="J32" s="107">
        <v>7.77</v>
      </c>
      <c r="K32" s="107">
        <v>7.77</v>
      </c>
      <c r="L32" s="107">
        <v>3.9</v>
      </c>
      <c r="Q32" s="107">
        <f t="shared" si="7"/>
        <v>34.979999999999997</v>
      </c>
      <c r="R32" s="107">
        <f t="shared" si="8"/>
        <v>-6.3948846218409017E-14</v>
      </c>
      <c r="V32" s="107">
        <f t="shared" si="4"/>
        <v>34.979999999999997</v>
      </c>
      <c r="W32" s="107">
        <f t="shared" si="5"/>
        <v>-6.3948846218409017E-14</v>
      </c>
    </row>
    <row r="33" spans="1:24" ht="16.5">
      <c r="A33" s="134">
        <v>40679</v>
      </c>
      <c r="B33" s="121" t="s">
        <v>6</v>
      </c>
      <c r="C33" s="107">
        <v>171</v>
      </c>
      <c r="D33" s="107">
        <v>147.73999999999998</v>
      </c>
      <c r="E33" s="107">
        <f t="shared" si="0"/>
        <v>23.260000000000019</v>
      </c>
      <c r="F33" s="107">
        <v>17.100000000000001</v>
      </c>
      <c r="G33" s="107">
        <f t="shared" si="6"/>
        <v>6.1600000000000179</v>
      </c>
      <c r="H33" s="107">
        <v>1.43</v>
      </c>
      <c r="I33" s="107">
        <v>1.43</v>
      </c>
      <c r="J33" s="107">
        <v>1.43</v>
      </c>
      <c r="K33" s="107">
        <v>1.87</v>
      </c>
      <c r="Q33" s="107">
        <f t="shared" si="7"/>
        <v>6.16</v>
      </c>
      <c r="R33" s="107">
        <f t="shared" si="8"/>
        <v>1.7763568394002505E-14</v>
      </c>
      <c r="V33" s="107">
        <f t="shared" si="4"/>
        <v>6.16</v>
      </c>
      <c r="W33" s="107">
        <f t="shared" si="5"/>
        <v>1.7763568394002505E-14</v>
      </c>
    </row>
    <row r="34" spans="1:24" ht="16.5">
      <c r="A34" s="134">
        <v>0</v>
      </c>
      <c r="B34" s="121" t="s">
        <v>7</v>
      </c>
      <c r="C34" s="107">
        <v>901.6</v>
      </c>
      <c r="D34" s="107">
        <v>776.36999999999989</v>
      </c>
      <c r="E34" s="107">
        <f t="shared" si="0"/>
        <v>125.23000000000013</v>
      </c>
      <c r="F34" s="107">
        <v>90.16</v>
      </c>
      <c r="G34" s="107">
        <f t="shared" si="6"/>
        <v>35.070000000000135</v>
      </c>
      <c r="H34" s="107">
        <v>7.52</v>
      </c>
      <c r="I34" s="107">
        <v>7.52</v>
      </c>
      <c r="J34" s="107">
        <v>7.52</v>
      </c>
      <c r="K34" s="107">
        <v>7.52</v>
      </c>
      <c r="L34" s="107">
        <v>4.99</v>
      </c>
      <c r="M34" s="107" t="s">
        <v>30</v>
      </c>
      <c r="Q34" s="107">
        <f t="shared" si="7"/>
        <v>35.07</v>
      </c>
      <c r="R34" s="107">
        <f t="shared" si="8"/>
        <v>1.3500311979441904E-13</v>
      </c>
      <c r="V34" s="107">
        <f t="shared" si="4"/>
        <v>35.07</v>
      </c>
      <c r="W34" s="107">
        <f t="shared" si="5"/>
        <v>1.3500311979441904E-13</v>
      </c>
    </row>
    <row r="35" spans="1:24" ht="16.5">
      <c r="A35" s="134">
        <v>40682</v>
      </c>
      <c r="B35" s="121" t="s">
        <v>8</v>
      </c>
      <c r="C35" s="107">
        <v>400</v>
      </c>
      <c r="D35" s="107">
        <v>344.4</v>
      </c>
      <c r="E35" s="107">
        <f t="shared" si="0"/>
        <v>55.600000000000023</v>
      </c>
      <c r="F35" s="107">
        <v>40</v>
      </c>
      <c r="G35" s="107">
        <f t="shared" si="6"/>
        <v>15.600000000000023</v>
      </c>
      <c r="H35" s="107">
        <v>3.33</v>
      </c>
      <c r="I35" s="107">
        <v>3.33</v>
      </c>
      <c r="J35" s="107">
        <v>3.33</v>
      </c>
      <c r="K35" s="107">
        <v>3.33</v>
      </c>
      <c r="L35" s="107">
        <v>2.2799999999999998</v>
      </c>
      <c r="Q35" s="107">
        <f t="shared" si="7"/>
        <v>15.6</v>
      </c>
      <c r="R35" s="107">
        <f t="shared" si="8"/>
        <v>2.3092638912203256E-14</v>
      </c>
      <c r="V35" s="107">
        <f t="shared" si="4"/>
        <v>15.6</v>
      </c>
      <c r="W35" s="107">
        <f t="shared" si="5"/>
        <v>2.3092638912203256E-14</v>
      </c>
    </row>
    <row r="36" spans="1:24" ht="16.5">
      <c r="A36" s="134">
        <v>40695</v>
      </c>
      <c r="B36" s="121" t="s">
        <v>6</v>
      </c>
      <c r="C36" s="107">
        <v>171</v>
      </c>
      <c r="D36" s="107">
        <v>146.98999999999998</v>
      </c>
      <c r="E36" s="107">
        <f t="shared" si="0"/>
        <v>24.010000000000019</v>
      </c>
      <c r="F36" s="107">
        <v>17.100000000000001</v>
      </c>
      <c r="G36" s="107">
        <f t="shared" si="6"/>
        <v>6.9100000000000179</v>
      </c>
      <c r="H36" s="107">
        <v>1.43</v>
      </c>
      <c r="I36" s="107">
        <v>1.43</v>
      </c>
      <c r="J36" s="107">
        <v>1.43</v>
      </c>
      <c r="K36" s="107">
        <v>1.43</v>
      </c>
      <c r="L36" s="107">
        <v>1.19</v>
      </c>
      <c r="Q36" s="107">
        <f t="shared" si="7"/>
        <v>6.91</v>
      </c>
      <c r="R36" s="107">
        <f t="shared" si="8"/>
        <v>1.7763568394002505E-14</v>
      </c>
      <c r="V36" s="107">
        <f t="shared" si="4"/>
        <v>6.91</v>
      </c>
      <c r="W36" s="107">
        <f t="shared" si="5"/>
        <v>1.7763568394002505E-14</v>
      </c>
    </row>
    <row r="37" spans="1:24" ht="16.5">
      <c r="A37" s="134">
        <v>40760</v>
      </c>
      <c r="B37" s="121" t="s">
        <v>9</v>
      </c>
      <c r="C37" s="107">
        <v>437</v>
      </c>
      <c r="D37" s="107">
        <v>367.21999999999997</v>
      </c>
      <c r="E37" s="107">
        <f t="shared" si="0"/>
        <v>69.78000000000003</v>
      </c>
      <c r="F37" s="107">
        <v>43.7</v>
      </c>
      <c r="G37" s="107">
        <f t="shared" si="6"/>
        <v>26.080000000000027</v>
      </c>
      <c r="H37" s="107">
        <v>3.65</v>
      </c>
      <c r="I37" s="107">
        <v>3.65</v>
      </c>
      <c r="J37" s="107">
        <v>3.65</v>
      </c>
      <c r="K37" s="107">
        <v>3.65</v>
      </c>
      <c r="L37" s="107">
        <v>3.65</v>
      </c>
      <c r="M37" s="107">
        <v>3.65</v>
      </c>
      <c r="N37" s="107">
        <v>4.18</v>
      </c>
      <c r="Q37" s="107">
        <f t="shared" si="7"/>
        <v>26.08</v>
      </c>
      <c r="R37" s="107">
        <f t="shared" si="8"/>
        <v>2.8421709430404007E-14</v>
      </c>
      <c r="V37" s="107">
        <f t="shared" si="4"/>
        <v>26.08</v>
      </c>
      <c r="W37" s="107">
        <f t="shared" si="5"/>
        <v>2.8421709430404007E-14</v>
      </c>
    </row>
    <row r="38" spans="1:24" ht="16.5">
      <c r="A38" s="134">
        <v>40760</v>
      </c>
      <c r="B38" s="121" t="s">
        <v>6</v>
      </c>
      <c r="C38" s="107">
        <v>171</v>
      </c>
      <c r="D38" s="107">
        <v>142.75</v>
      </c>
      <c r="E38" s="107">
        <f t="shared" si="0"/>
        <v>28.25</v>
      </c>
      <c r="F38" s="107">
        <v>17.100000000000001</v>
      </c>
      <c r="G38" s="107">
        <f t="shared" si="6"/>
        <v>11.149999999999999</v>
      </c>
      <c r="H38" s="107">
        <v>1.43</v>
      </c>
      <c r="I38" s="107">
        <v>1.43</v>
      </c>
      <c r="J38" s="107">
        <v>1.43</v>
      </c>
      <c r="K38" s="107">
        <v>1.43</v>
      </c>
      <c r="L38" s="107">
        <v>1.43</v>
      </c>
      <c r="M38" s="107">
        <v>1.43</v>
      </c>
      <c r="N38" s="107">
        <v>1.43</v>
      </c>
      <c r="O38" s="107">
        <v>1.1399999999999999</v>
      </c>
      <c r="Q38" s="107">
        <f t="shared" si="7"/>
        <v>11.15</v>
      </c>
      <c r="R38" s="107">
        <f t="shared" si="8"/>
        <v>0</v>
      </c>
      <c r="V38" s="107">
        <f t="shared" si="4"/>
        <v>11.15</v>
      </c>
      <c r="W38" s="107">
        <f t="shared" si="5"/>
        <v>0</v>
      </c>
    </row>
    <row r="39" spans="1:24" ht="16.5">
      <c r="A39" s="134"/>
      <c r="B39" s="121"/>
      <c r="C39" s="107"/>
      <c r="D39" s="107"/>
      <c r="E39" s="107" t="s">
        <v>30</v>
      </c>
      <c r="Q39" s="107">
        <f t="shared" si="7"/>
        <v>0</v>
      </c>
      <c r="R39" s="107">
        <f t="shared" si="8"/>
        <v>0</v>
      </c>
      <c r="V39" s="107">
        <f t="shared" si="4"/>
        <v>0</v>
      </c>
      <c r="W39" s="107">
        <f t="shared" si="5"/>
        <v>0</v>
      </c>
    </row>
    <row r="40" spans="1:24" ht="16.5">
      <c r="A40" s="134">
        <v>41068</v>
      </c>
      <c r="B40" s="121" t="s">
        <v>0</v>
      </c>
      <c r="C40" s="107">
        <v>1886.4</v>
      </c>
      <c r="D40" s="107">
        <v>1426.2399999999998</v>
      </c>
      <c r="E40" s="107">
        <f t="shared" si="0"/>
        <v>460.16000000000031</v>
      </c>
      <c r="F40" s="107">
        <v>188.64</v>
      </c>
      <c r="G40" s="107">
        <f>+E40-F40</f>
        <v>271.52000000000032</v>
      </c>
      <c r="H40" s="107">
        <v>15.72</v>
      </c>
      <c r="I40" s="107">
        <v>15.72</v>
      </c>
      <c r="J40" s="107">
        <v>15.72</v>
      </c>
      <c r="K40" s="107">
        <v>15.72</v>
      </c>
      <c r="L40" s="107">
        <v>15.72</v>
      </c>
      <c r="M40" s="107">
        <v>15.72</v>
      </c>
      <c r="N40" s="107">
        <v>15.72</v>
      </c>
      <c r="O40" s="107">
        <v>15.72</v>
      </c>
      <c r="P40" s="107">
        <v>15.72</v>
      </c>
      <c r="Q40" s="107">
        <f t="shared" si="7"/>
        <v>141.48000000000002</v>
      </c>
      <c r="R40" s="107">
        <f t="shared" si="8"/>
        <v>130.0400000000003</v>
      </c>
      <c r="S40" s="107">
        <v>15.72</v>
      </c>
      <c r="T40" s="107">
        <v>15.72</v>
      </c>
      <c r="U40" s="107">
        <v>15.72</v>
      </c>
      <c r="V40" s="107">
        <f>+Q40+S40+T40+U40</f>
        <v>188.64000000000001</v>
      </c>
      <c r="W40" s="107">
        <f>+G40-V40</f>
        <v>82.880000000000308</v>
      </c>
      <c r="X40" s="1"/>
    </row>
    <row r="41" spans="1:24" ht="16.5">
      <c r="A41" s="133"/>
      <c r="B41" s="121"/>
      <c r="C41" s="107"/>
      <c r="D41" s="107"/>
      <c r="E41" s="107" t="s">
        <v>30</v>
      </c>
      <c r="Q41" s="107" t="s">
        <v>30</v>
      </c>
      <c r="R41" s="107" t="s">
        <v>30</v>
      </c>
      <c r="W41" s="107"/>
      <c r="X41" s="1"/>
    </row>
    <row r="42" spans="1:24" ht="16.5">
      <c r="A42" s="134">
        <v>41743</v>
      </c>
      <c r="B42" s="121" t="s">
        <v>134</v>
      </c>
      <c r="C42" s="107">
        <v>571</v>
      </c>
      <c r="D42" s="107">
        <v>326.14000000000004</v>
      </c>
      <c r="E42" s="107">
        <f t="shared" si="0"/>
        <v>244.85999999999996</v>
      </c>
      <c r="F42" s="107">
        <v>57.1</v>
      </c>
      <c r="G42" s="107">
        <f t="shared" ref="G42:G54" si="9">+E42-F42</f>
        <v>187.75999999999996</v>
      </c>
      <c r="H42" s="107">
        <v>4.76</v>
      </c>
      <c r="I42" s="107">
        <v>4.76</v>
      </c>
      <c r="J42" s="107">
        <v>4.76</v>
      </c>
      <c r="K42" s="107">
        <v>4.76</v>
      </c>
      <c r="L42" s="107">
        <v>4.76</v>
      </c>
      <c r="M42" s="107">
        <v>4.76</v>
      </c>
      <c r="N42" s="107">
        <v>4.76</v>
      </c>
      <c r="O42" s="107">
        <v>4.76</v>
      </c>
      <c r="P42" s="107">
        <v>4.76</v>
      </c>
      <c r="Q42" s="107">
        <f t="shared" si="7"/>
        <v>42.839999999999989</v>
      </c>
      <c r="R42" s="107">
        <f t="shared" si="8"/>
        <v>144.91999999999996</v>
      </c>
      <c r="S42" s="107">
        <v>4.76</v>
      </c>
      <c r="T42" s="107">
        <v>4.76</v>
      </c>
      <c r="U42" s="107">
        <v>4.76</v>
      </c>
      <c r="V42" s="107">
        <f>+Q42+S42+T42+U42</f>
        <v>57.119999999999983</v>
      </c>
      <c r="W42" s="107">
        <f>+G42-V42</f>
        <v>130.63999999999999</v>
      </c>
      <c r="X42" s="1"/>
    </row>
    <row r="43" spans="1:24" ht="16.5">
      <c r="A43" s="134">
        <v>41753</v>
      </c>
      <c r="B43" s="121" t="s">
        <v>133</v>
      </c>
      <c r="C43" s="107">
        <v>7041.07</v>
      </c>
      <c r="D43" s="107">
        <v>4001.7440000000001</v>
      </c>
      <c r="E43" s="107">
        <f t="shared" si="0"/>
        <v>3039.3259999999996</v>
      </c>
      <c r="F43" s="107">
        <v>704.11</v>
      </c>
      <c r="G43" s="107">
        <f t="shared" si="9"/>
        <v>2335.2159999999994</v>
      </c>
      <c r="H43" s="107">
        <v>58.68</v>
      </c>
      <c r="I43" s="107">
        <v>58.68</v>
      </c>
      <c r="J43" s="107">
        <v>58.68</v>
      </c>
      <c r="K43" s="107">
        <v>58.68</v>
      </c>
      <c r="L43" s="107">
        <v>58.68</v>
      </c>
      <c r="M43" s="107">
        <v>58.68</v>
      </c>
      <c r="N43" s="107">
        <v>58.68</v>
      </c>
      <c r="O43" s="107">
        <v>58.68</v>
      </c>
      <c r="P43" s="107">
        <v>58.68</v>
      </c>
      <c r="Q43" s="107">
        <f t="shared" si="7"/>
        <v>528.12</v>
      </c>
      <c r="R43" s="107">
        <f t="shared" si="8"/>
        <v>1807.0959999999995</v>
      </c>
      <c r="S43" s="107">
        <v>58.68</v>
      </c>
      <c r="T43" s="107">
        <v>58.68</v>
      </c>
      <c r="U43" s="107">
        <v>58.68</v>
      </c>
      <c r="V43" s="107">
        <f t="shared" ref="V43:V56" si="10">+Q43+S43+T43+U43</f>
        <v>704.15999999999985</v>
      </c>
      <c r="W43" s="107">
        <f t="shared" ref="W43:W56" si="11">+G43-V43</f>
        <v>1631.0559999999996</v>
      </c>
      <c r="X43" s="1"/>
    </row>
    <row r="44" spans="1:24" ht="16.5">
      <c r="A44" s="134">
        <v>41775</v>
      </c>
      <c r="B44" s="121" t="s">
        <v>135</v>
      </c>
      <c r="C44" s="107">
        <v>462</v>
      </c>
      <c r="D44" s="107">
        <v>259.75</v>
      </c>
      <c r="E44" s="107">
        <f t="shared" si="0"/>
        <v>202.25</v>
      </c>
      <c r="F44" s="107">
        <v>46.2</v>
      </c>
      <c r="G44" s="107">
        <f t="shared" si="9"/>
        <v>156.05000000000001</v>
      </c>
      <c r="H44" s="107">
        <v>3.85</v>
      </c>
      <c r="I44" s="107">
        <v>3.85</v>
      </c>
      <c r="J44" s="107">
        <v>3.85</v>
      </c>
      <c r="K44" s="107">
        <v>3.85</v>
      </c>
      <c r="L44" s="107">
        <v>3.85</v>
      </c>
      <c r="M44" s="107">
        <v>3.85</v>
      </c>
      <c r="N44" s="107">
        <v>3.85</v>
      </c>
      <c r="O44" s="107">
        <v>3.85</v>
      </c>
      <c r="P44" s="107">
        <v>3.85</v>
      </c>
      <c r="Q44" s="107">
        <f t="shared" si="7"/>
        <v>34.650000000000006</v>
      </c>
      <c r="R44" s="107">
        <f t="shared" si="8"/>
        <v>121.4</v>
      </c>
      <c r="S44" s="107">
        <v>3.85</v>
      </c>
      <c r="T44" s="107">
        <v>3.85</v>
      </c>
      <c r="U44" s="107">
        <v>3.85</v>
      </c>
      <c r="V44" s="107">
        <f t="shared" si="10"/>
        <v>46.20000000000001</v>
      </c>
      <c r="W44" s="107">
        <f t="shared" si="11"/>
        <v>109.85</v>
      </c>
      <c r="X44" s="1"/>
    </row>
    <row r="45" spans="1:24" ht="16.5">
      <c r="A45" s="134">
        <v>41780</v>
      </c>
      <c r="B45" s="121" t="s">
        <v>136</v>
      </c>
      <c r="C45" s="107">
        <v>362.47</v>
      </c>
      <c r="D45" s="107">
        <v>203.38400000000001</v>
      </c>
      <c r="E45" s="107">
        <f t="shared" si="0"/>
        <v>159.08600000000001</v>
      </c>
      <c r="F45" s="107">
        <v>36.25</v>
      </c>
      <c r="G45" s="107">
        <f t="shared" si="9"/>
        <v>122.83600000000001</v>
      </c>
      <c r="H45" s="107">
        <v>3.02</v>
      </c>
      <c r="I45" s="107">
        <v>3.02</v>
      </c>
      <c r="J45" s="107">
        <v>3.02</v>
      </c>
      <c r="K45" s="107">
        <v>3.02</v>
      </c>
      <c r="L45" s="107">
        <v>3.02</v>
      </c>
      <c r="M45" s="107">
        <v>3.02</v>
      </c>
      <c r="N45" s="107">
        <v>3.02</v>
      </c>
      <c r="O45" s="107">
        <v>3.02</v>
      </c>
      <c r="P45" s="107">
        <v>3.02</v>
      </c>
      <c r="Q45" s="107">
        <f t="shared" si="7"/>
        <v>27.18</v>
      </c>
      <c r="R45" s="107">
        <f t="shared" si="8"/>
        <v>95.656000000000006</v>
      </c>
      <c r="S45" s="107">
        <v>3.02</v>
      </c>
      <c r="T45" s="107">
        <v>3.02</v>
      </c>
      <c r="U45" s="107">
        <v>3.02</v>
      </c>
      <c r="V45" s="107">
        <f t="shared" si="10"/>
        <v>36.24</v>
      </c>
      <c r="W45" s="107">
        <f t="shared" si="11"/>
        <v>86.596000000000004</v>
      </c>
      <c r="X45" s="1"/>
    </row>
    <row r="46" spans="1:24" ht="16.5">
      <c r="A46" s="134">
        <v>41781</v>
      </c>
      <c r="B46" s="121" t="s">
        <v>131</v>
      </c>
      <c r="C46" s="107">
        <v>1660.4</v>
      </c>
      <c r="D46" s="107">
        <v>931.12999999999988</v>
      </c>
      <c r="E46" s="107">
        <f t="shared" si="0"/>
        <v>729.27000000000021</v>
      </c>
      <c r="F46" s="107">
        <v>166.04</v>
      </c>
      <c r="G46" s="107">
        <f t="shared" si="9"/>
        <v>563.23000000000025</v>
      </c>
      <c r="H46" s="107">
        <v>13.84</v>
      </c>
      <c r="I46" s="107">
        <v>13.84</v>
      </c>
      <c r="J46" s="107">
        <v>13.84</v>
      </c>
      <c r="K46" s="107">
        <v>13.84</v>
      </c>
      <c r="L46" s="107">
        <v>13.84</v>
      </c>
      <c r="M46" s="107">
        <v>13.84</v>
      </c>
      <c r="N46" s="107">
        <v>13.84</v>
      </c>
      <c r="O46" s="107">
        <v>13.84</v>
      </c>
      <c r="P46" s="107">
        <v>13.84</v>
      </c>
      <c r="Q46" s="107">
        <f t="shared" si="7"/>
        <v>124.56000000000002</v>
      </c>
      <c r="R46" s="107">
        <f t="shared" si="8"/>
        <v>438.67000000000024</v>
      </c>
      <c r="S46" s="107">
        <v>13.84</v>
      </c>
      <c r="T46" s="107">
        <v>13.84</v>
      </c>
      <c r="U46" s="107">
        <v>13.84</v>
      </c>
      <c r="V46" s="107">
        <f t="shared" si="10"/>
        <v>166.08</v>
      </c>
      <c r="W46" s="107">
        <f t="shared" si="11"/>
        <v>397.1500000000002</v>
      </c>
      <c r="X46" s="1"/>
    </row>
    <row r="47" spans="1:24" ht="16.5">
      <c r="A47" s="134">
        <v>41792</v>
      </c>
      <c r="B47" s="121" t="s">
        <v>1</v>
      </c>
      <c r="C47" s="107">
        <v>640</v>
      </c>
      <c r="D47" s="107">
        <v>357.31</v>
      </c>
      <c r="E47" s="107">
        <f t="shared" si="0"/>
        <v>282.69</v>
      </c>
      <c r="F47" s="107">
        <v>64</v>
      </c>
      <c r="G47" s="107">
        <f t="shared" si="9"/>
        <v>218.69</v>
      </c>
      <c r="H47" s="107">
        <v>5.33</v>
      </c>
      <c r="I47" s="107">
        <v>5.33</v>
      </c>
      <c r="J47" s="107">
        <v>5.33</v>
      </c>
      <c r="K47" s="107">
        <v>5.33</v>
      </c>
      <c r="L47" s="107">
        <v>5.33</v>
      </c>
      <c r="M47" s="107">
        <v>5.33</v>
      </c>
      <c r="N47" s="107">
        <v>5.33</v>
      </c>
      <c r="O47" s="107">
        <v>5.33</v>
      </c>
      <c r="P47" s="107">
        <v>5.33</v>
      </c>
      <c r="Q47" s="107">
        <f t="shared" si="7"/>
        <v>47.969999999999992</v>
      </c>
      <c r="R47" s="107">
        <f t="shared" si="8"/>
        <v>170.72</v>
      </c>
      <c r="S47" s="107">
        <v>5.33</v>
      </c>
      <c r="T47" s="107">
        <v>5.33</v>
      </c>
      <c r="U47" s="107">
        <v>5.33</v>
      </c>
      <c r="V47" s="107">
        <f t="shared" si="10"/>
        <v>63.959999999999987</v>
      </c>
      <c r="W47" s="107">
        <f t="shared" si="11"/>
        <v>154.73000000000002</v>
      </c>
      <c r="X47" s="1"/>
    </row>
    <row r="48" spans="1:24" ht="16.5">
      <c r="A48" s="134">
        <v>41801</v>
      </c>
      <c r="B48" s="121" t="s">
        <v>2</v>
      </c>
      <c r="C48" s="107">
        <v>320</v>
      </c>
      <c r="D48" s="107">
        <v>177.73000000000002</v>
      </c>
      <c r="E48" s="107">
        <f t="shared" si="0"/>
        <v>142.26999999999998</v>
      </c>
      <c r="F48" s="107">
        <v>32</v>
      </c>
      <c r="G48" s="107">
        <f t="shared" si="9"/>
        <v>110.26999999999998</v>
      </c>
      <c r="H48" s="107">
        <v>2.67</v>
      </c>
      <c r="I48" s="107">
        <v>2.67</v>
      </c>
      <c r="J48" s="107">
        <v>2.67</v>
      </c>
      <c r="K48" s="107">
        <v>2.67</v>
      </c>
      <c r="L48" s="107">
        <v>2.67</v>
      </c>
      <c r="M48" s="107">
        <v>2.67</v>
      </c>
      <c r="N48" s="107">
        <v>2.67</v>
      </c>
      <c r="O48" s="107">
        <v>2.67</v>
      </c>
      <c r="P48" s="107">
        <v>2.67</v>
      </c>
      <c r="Q48" s="107">
        <f t="shared" si="7"/>
        <v>24.03</v>
      </c>
      <c r="R48" s="107">
        <f t="shared" si="8"/>
        <v>86.239999999999981</v>
      </c>
      <c r="S48" s="107">
        <v>2.67</v>
      </c>
      <c r="T48" s="107">
        <v>2.67</v>
      </c>
      <c r="U48" s="107">
        <v>2.67</v>
      </c>
      <c r="V48" s="107">
        <f t="shared" si="10"/>
        <v>32.040000000000006</v>
      </c>
      <c r="W48" s="107">
        <f t="shared" si="11"/>
        <v>78.229999999999976</v>
      </c>
      <c r="X48" s="1"/>
    </row>
    <row r="49" spans="1:24" ht="16.5">
      <c r="A49" s="134">
        <v>41801</v>
      </c>
      <c r="B49" s="121" t="s">
        <v>132</v>
      </c>
      <c r="C49" s="107">
        <v>388.8</v>
      </c>
      <c r="D49" s="107">
        <v>215.93</v>
      </c>
      <c r="E49" s="107">
        <f t="shared" si="0"/>
        <v>172.87</v>
      </c>
      <c r="F49" s="107">
        <v>38.880000000000003</v>
      </c>
      <c r="G49" s="107">
        <f t="shared" si="9"/>
        <v>133.99</v>
      </c>
      <c r="H49" s="107">
        <v>3.24</v>
      </c>
      <c r="I49" s="107">
        <v>3.24</v>
      </c>
      <c r="J49" s="107">
        <v>3.24</v>
      </c>
      <c r="K49" s="107">
        <v>3.24</v>
      </c>
      <c r="L49" s="107">
        <v>3.24</v>
      </c>
      <c r="M49" s="107">
        <v>3.24</v>
      </c>
      <c r="N49" s="107">
        <v>3.24</v>
      </c>
      <c r="O49" s="107">
        <v>3.24</v>
      </c>
      <c r="P49" s="107">
        <v>3.24</v>
      </c>
      <c r="Q49" s="107">
        <f t="shared" si="7"/>
        <v>29.160000000000011</v>
      </c>
      <c r="R49" s="107">
        <f t="shared" si="8"/>
        <v>104.83</v>
      </c>
      <c r="S49" s="107">
        <v>3.24</v>
      </c>
      <c r="T49" s="107">
        <v>3.24</v>
      </c>
      <c r="U49" s="107">
        <v>3.24</v>
      </c>
      <c r="V49" s="107">
        <f t="shared" si="10"/>
        <v>38.880000000000017</v>
      </c>
      <c r="W49" s="107">
        <f t="shared" si="11"/>
        <v>95.109999999999985</v>
      </c>
      <c r="X49" s="1"/>
    </row>
    <row r="50" spans="1:24" ht="16.5">
      <c r="A50" s="134">
        <v>41803</v>
      </c>
      <c r="B50" s="121" t="s">
        <v>128</v>
      </c>
      <c r="C50" s="107">
        <v>277.5</v>
      </c>
      <c r="D50" s="107">
        <v>153.97</v>
      </c>
      <c r="E50" s="107">
        <f t="shared" si="0"/>
        <v>123.53</v>
      </c>
      <c r="F50" s="107">
        <v>27.75</v>
      </c>
      <c r="G50" s="107">
        <f t="shared" si="9"/>
        <v>95.78</v>
      </c>
      <c r="H50" s="107">
        <v>2.31</v>
      </c>
      <c r="I50" s="107">
        <v>2.31</v>
      </c>
      <c r="J50" s="107">
        <v>2.31</v>
      </c>
      <c r="K50" s="107">
        <v>2.31</v>
      </c>
      <c r="L50" s="107">
        <v>2.31</v>
      </c>
      <c r="M50" s="107">
        <v>2.31</v>
      </c>
      <c r="N50" s="107">
        <v>2.31</v>
      </c>
      <c r="O50" s="107">
        <v>2.31</v>
      </c>
      <c r="P50" s="107">
        <v>2.31</v>
      </c>
      <c r="Q50" s="107">
        <f t="shared" si="7"/>
        <v>20.79</v>
      </c>
      <c r="R50" s="107">
        <f t="shared" si="8"/>
        <v>74.990000000000009</v>
      </c>
      <c r="S50" s="107">
        <v>2.31</v>
      </c>
      <c r="T50" s="107">
        <v>2.31</v>
      </c>
      <c r="U50" s="107">
        <v>2.31</v>
      </c>
      <c r="V50" s="107">
        <f t="shared" si="10"/>
        <v>27.719999999999995</v>
      </c>
      <c r="W50" s="107">
        <f t="shared" si="11"/>
        <v>68.06</v>
      </c>
      <c r="X50" s="1"/>
    </row>
    <row r="51" spans="1:24" ht="16.5">
      <c r="A51" s="134">
        <v>41829</v>
      </c>
      <c r="B51" s="121" t="s">
        <v>129</v>
      </c>
      <c r="C51" s="107">
        <v>449.95</v>
      </c>
      <c r="D51" s="107">
        <v>246.38</v>
      </c>
      <c r="E51" s="107">
        <f t="shared" si="0"/>
        <v>203.57</v>
      </c>
      <c r="F51" s="107">
        <v>45</v>
      </c>
      <c r="G51" s="107">
        <f t="shared" si="9"/>
        <v>158.57</v>
      </c>
      <c r="H51" s="107">
        <v>3.75</v>
      </c>
      <c r="I51" s="107">
        <v>3.75</v>
      </c>
      <c r="J51" s="107">
        <v>3.75</v>
      </c>
      <c r="K51" s="107">
        <v>3.75</v>
      </c>
      <c r="L51" s="107">
        <v>3.75</v>
      </c>
      <c r="M51" s="107">
        <v>3.75</v>
      </c>
      <c r="N51" s="107">
        <v>3.75</v>
      </c>
      <c r="O51" s="107">
        <v>3.75</v>
      </c>
      <c r="P51" s="107">
        <v>3.75</v>
      </c>
      <c r="Q51" s="107">
        <f t="shared" si="7"/>
        <v>33.75</v>
      </c>
      <c r="R51" s="107">
        <f t="shared" si="8"/>
        <v>124.82</v>
      </c>
      <c r="S51" s="107">
        <v>3.75</v>
      </c>
      <c r="T51" s="107">
        <v>3.75</v>
      </c>
      <c r="U51" s="107">
        <v>3.75</v>
      </c>
      <c r="V51" s="107">
        <f t="shared" si="10"/>
        <v>45</v>
      </c>
      <c r="W51" s="107">
        <f t="shared" si="11"/>
        <v>113.57</v>
      </c>
      <c r="X51" s="1"/>
    </row>
    <row r="52" spans="1:24" ht="16.5">
      <c r="A52" s="134">
        <v>41920</v>
      </c>
      <c r="B52" s="121" t="s">
        <v>127</v>
      </c>
      <c r="C52" s="107">
        <v>2366.0700000000002</v>
      </c>
      <c r="D52" s="107">
        <v>1227.2040000000002</v>
      </c>
      <c r="E52" s="107">
        <f t="shared" si="0"/>
        <v>1138.866</v>
      </c>
      <c r="F52" s="107">
        <v>236.61</v>
      </c>
      <c r="G52" s="107">
        <f t="shared" si="9"/>
        <v>902.25599999999997</v>
      </c>
      <c r="H52" s="107">
        <v>19.72</v>
      </c>
      <c r="I52" s="107">
        <v>19.72</v>
      </c>
      <c r="J52" s="107">
        <v>19.72</v>
      </c>
      <c r="K52" s="107">
        <v>19.72</v>
      </c>
      <c r="L52" s="107">
        <v>19.72</v>
      </c>
      <c r="M52" s="107">
        <v>19.72</v>
      </c>
      <c r="N52" s="107">
        <v>19.72</v>
      </c>
      <c r="O52" s="107">
        <v>19.72</v>
      </c>
      <c r="P52" s="107">
        <v>19.72</v>
      </c>
      <c r="Q52" s="107">
        <f t="shared" si="7"/>
        <v>177.48</v>
      </c>
      <c r="R52" s="107">
        <f t="shared" si="8"/>
        <v>724.77599999999995</v>
      </c>
      <c r="S52" s="107">
        <v>19.72</v>
      </c>
      <c r="T52" s="107">
        <v>19.72</v>
      </c>
      <c r="U52" s="107">
        <v>19.72</v>
      </c>
      <c r="V52" s="107">
        <f t="shared" si="10"/>
        <v>236.64</v>
      </c>
      <c r="W52" s="107">
        <f t="shared" si="11"/>
        <v>665.61599999999999</v>
      </c>
      <c r="X52" s="1"/>
    </row>
    <row r="53" spans="1:24" ht="16.5">
      <c r="A53" s="134">
        <v>41996</v>
      </c>
      <c r="B53" s="121" t="s">
        <v>3</v>
      </c>
      <c r="C53" s="107">
        <v>292.83999999999997</v>
      </c>
      <c r="D53" s="107">
        <v>147.048</v>
      </c>
      <c r="E53" s="107">
        <f t="shared" si="0"/>
        <v>145.79199999999997</v>
      </c>
      <c r="F53" s="107">
        <v>29.28</v>
      </c>
      <c r="G53" s="107">
        <f t="shared" si="9"/>
        <v>116.51199999999997</v>
      </c>
      <c r="H53" s="107">
        <v>2.44</v>
      </c>
      <c r="I53" s="107">
        <v>2.44</v>
      </c>
      <c r="J53" s="107">
        <v>2.44</v>
      </c>
      <c r="K53" s="107">
        <v>2.44</v>
      </c>
      <c r="L53" s="107">
        <v>2.44</v>
      </c>
      <c r="M53" s="107">
        <v>2.44</v>
      </c>
      <c r="N53" s="107">
        <v>2.44</v>
      </c>
      <c r="O53" s="107">
        <v>2.44</v>
      </c>
      <c r="P53" s="107">
        <v>2.44</v>
      </c>
      <c r="Q53" s="107">
        <f t="shared" si="7"/>
        <v>21.96</v>
      </c>
      <c r="R53" s="107">
        <f t="shared" si="8"/>
        <v>94.551999999999964</v>
      </c>
      <c r="S53" s="107">
        <v>2.44</v>
      </c>
      <c r="T53" s="107">
        <v>2.44</v>
      </c>
      <c r="U53" s="107">
        <v>2.44</v>
      </c>
      <c r="V53" s="107">
        <f t="shared" si="10"/>
        <v>29.280000000000005</v>
      </c>
      <c r="W53" s="107">
        <f t="shared" si="11"/>
        <v>87.231999999999971</v>
      </c>
      <c r="X53" s="1"/>
    </row>
    <row r="54" spans="1:24" ht="16.5">
      <c r="A54" s="134">
        <v>41996</v>
      </c>
      <c r="B54" s="121" t="s">
        <v>3</v>
      </c>
      <c r="C54" s="107">
        <v>720.51</v>
      </c>
      <c r="D54" s="107">
        <v>361.77200000000005</v>
      </c>
      <c r="E54" s="107">
        <f t="shared" si="0"/>
        <v>358.73799999999994</v>
      </c>
      <c r="F54" s="107">
        <v>72.05</v>
      </c>
      <c r="G54" s="107">
        <f t="shared" si="9"/>
        <v>286.68799999999993</v>
      </c>
      <c r="H54" s="107">
        <v>6</v>
      </c>
      <c r="I54" s="107">
        <v>6</v>
      </c>
      <c r="J54" s="107">
        <v>6</v>
      </c>
      <c r="K54" s="107">
        <v>6</v>
      </c>
      <c r="L54" s="107">
        <v>6</v>
      </c>
      <c r="M54" s="107">
        <v>6</v>
      </c>
      <c r="N54" s="107">
        <v>6</v>
      </c>
      <c r="O54" s="107">
        <v>6</v>
      </c>
      <c r="P54" s="107">
        <v>6</v>
      </c>
      <c r="Q54" s="107">
        <f t="shared" si="7"/>
        <v>54</v>
      </c>
      <c r="R54" s="107">
        <f t="shared" si="8"/>
        <v>232.68799999999993</v>
      </c>
      <c r="S54" s="107">
        <v>6</v>
      </c>
      <c r="T54" s="107">
        <v>6</v>
      </c>
      <c r="U54" s="107">
        <v>6</v>
      </c>
      <c r="V54" s="107">
        <f t="shared" si="10"/>
        <v>72</v>
      </c>
      <c r="W54" s="107">
        <f t="shared" si="11"/>
        <v>214.68799999999993</v>
      </c>
      <c r="X54" s="1"/>
    </row>
    <row r="55" spans="1:24" ht="16.5">
      <c r="A55" s="133"/>
      <c r="B55" s="121"/>
      <c r="C55" s="107"/>
      <c r="D55" s="107"/>
      <c r="E55" s="107" t="s">
        <v>30</v>
      </c>
      <c r="Q55" s="107" t="s">
        <v>30</v>
      </c>
      <c r="R55" s="107" t="s">
        <v>30</v>
      </c>
      <c r="V55" s="107" t="s">
        <v>30</v>
      </c>
      <c r="W55" s="107" t="s">
        <v>30</v>
      </c>
      <c r="X55" s="1"/>
    </row>
    <row r="56" spans="1:24" ht="16.5">
      <c r="A56" s="132">
        <v>42524</v>
      </c>
      <c r="B56" s="23" t="s">
        <v>130</v>
      </c>
      <c r="C56" s="107">
        <v>760</v>
      </c>
      <c r="D56" s="107">
        <v>227.88</v>
      </c>
      <c r="E56" s="107">
        <f t="shared" si="0"/>
        <v>532.12</v>
      </c>
      <c r="F56" s="107">
        <v>76</v>
      </c>
      <c r="G56" s="107">
        <f>+E56-F56</f>
        <v>456.12</v>
      </c>
      <c r="H56" s="107">
        <v>6.33</v>
      </c>
      <c r="I56" s="107">
        <v>6.33</v>
      </c>
      <c r="J56" s="107">
        <v>6.33</v>
      </c>
      <c r="K56" s="107">
        <v>6.33</v>
      </c>
      <c r="L56" s="107">
        <v>6.33</v>
      </c>
      <c r="M56" s="107">
        <v>6.33</v>
      </c>
      <c r="N56" s="107">
        <v>6.33</v>
      </c>
      <c r="O56" s="107">
        <v>6.33</v>
      </c>
      <c r="P56" s="107">
        <v>6.33</v>
      </c>
      <c r="Q56" s="107">
        <f t="shared" si="7"/>
        <v>56.969999999999992</v>
      </c>
      <c r="R56" s="107">
        <f t="shared" si="8"/>
        <v>399.15000000000003</v>
      </c>
      <c r="S56" s="107">
        <v>6.33</v>
      </c>
      <c r="T56" s="107">
        <v>6.33</v>
      </c>
      <c r="U56" s="107">
        <v>6.33</v>
      </c>
      <c r="V56" s="107">
        <f t="shared" si="10"/>
        <v>75.959999999999994</v>
      </c>
      <c r="W56" s="107">
        <f t="shared" si="11"/>
        <v>380.16</v>
      </c>
      <c r="X56" s="1"/>
    </row>
    <row r="57" spans="1:24" ht="17.25" thickBot="1">
      <c r="A57" s="133"/>
      <c r="B57" s="121"/>
      <c r="C57" s="108">
        <f>SUM(C5:C56)</f>
        <v>51678.38</v>
      </c>
      <c r="D57" s="108">
        <f t="shared" ref="D57:G57" si="12">SUM(D5:D56)</f>
        <v>43164.437166666656</v>
      </c>
      <c r="E57" s="108">
        <f t="shared" si="12"/>
        <v>8513.9428333333308</v>
      </c>
      <c r="F57" s="108">
        <f t="shared" si="12"/>
        <v>2251.6800000000007</v>
      </c>
      <c r="G57" s="108">
        <f t="shared" si="12"/>
        <v>6262.2628333333305</v>
      </c>
      <c r="H57" s="108">
        <f>SUM(H29:H56)</f>
        <v>189.04</v>
      </c>
      <c r="I57" s="108">
        <f t="shared" ref="I57:W57" si="13">SUM(I29:I56)</f>
        <v>178.22</v>
      </c>
      <c r="J57" s="108">
        <f t="shared" si="13"/>
        <v>178.22</v>
      </c>
      <c r="K57" s="108">
        <f t="shared" si="13"/>
        <v>178.66</v>
      </c>
      <c r="L57" s="108">
        <f t="shared" si="13"/>
        <v>169.1</v>
      </c>
      <c r="M57" s="108">
        <f t="shared" si="13"/>
        <v>156.74</v>
      </c>
      <c r="N57" s="108">
        <f t="shared" si="13"/>
        <v>157.27000000000001</v>
      </c>
      <c r="O57" s="108">
        <f t="shared" si="13"/>
        <v>152.79999999999998</v>
      </c>
      <c r="P57" s="108">
        <f t="shared" si="13"/>
        <v>151.66</v>
      </c>
      <c r="Q57" s="108">
        <f t="shared" si="13"/>
        <v>1511.71</v>
      </c>
      <c r="R57" s="108">
        <f t="shared" si="13"/>
        <v>4750.5479999999998</v>
      </c>
      <c r="S57" s="160">
        <f t="shared" si="13"/>
        <v>151.66</v>
      </c>
      <c r="T57" s="160">
        <f t="shared" si="13"/>
        <v>151.66</v>
      </c>
      <c r="U57" s="160">
        <f t="shared" si="13"/>
        <v>151.66</v>
      </c>
      <c r="V57" s="108">
        <f t="shared" si="13"/>
        <v>1966.6899999999998</v>
      </c>
      <c r="W57" s="159">
        <f t="shared" si="13"/>
        <v>4295.5680000000002</v>
      </c>
      <c r="X57" s="1"/>
    </row>
    <row r="58" spans="1:24" ht="31.5" thickTop="1">
      <c r="A58" s="133"/>
      <c r="B58" s="121"/>
      <c r="C58" s="107"/>
      <c r="D58" s="107"/>
      <c r="E58" s="107"/>
      <c r="H58" s="18" t="s">
        <v>166</v>
      </c>
      <c r="I58" s="18" t="s">
        <v>167</v>
      </c>
      <c r="J58" s="18" t="s">
        <v>168</v>
      </c>
      <c r="K58" s="18" t="s">
        <v>169</v>
      </c>
      <c r="L58" s="18" t="s">
        <v>170</v>
      </c>
      <c r="M58" s="18" t="s">
        <v>171</v>
      </c>
      <c r="N58" s="18" t="s">
        <v>172</v>
      </c>
      <c r="O58" s="18" t="s">
        <v>173</v>
      </c>
      <c r="P58" s="18" t="s">
        <v>175</v>
      </c>
      <c r="Q58" s="1" t="s">
        <v>30</v>
      </c>
      <c r="R58" s="1" t="s">
        <v>30</v>
      </c>
      <c r="S58" s="18" t="s">
        <v>188</v>
      </c>
      <c r="T58" s="18" t="s">
        <v>189</v>
      </c>
      <c r="U58" s="18" t="s">
        <v>190</v>
      </c>
      <c r="V58" s="18" t="s">
        <v>192</v>
      </c>
      <c r="W58" s="1">
        <f>+R57-S57-T57-U57</f>
        <v>4295.5680000000002</v>
      </c>
    </row>
    <row r="59" spans="1:24" ht="16.5">
      <c r="A59" s="133"/>
      <c r="B59" s="12" t="s">
        <v>68</v>
      </c>
      <c r="C59" s="25"/>
      <c r="D59" s="25"/>
      <c r="E59" s="1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1" t="s">
        <v>30</v>
      </c>
      <c r="R59" s="1" t="s">
        <v>30</v>
      </c>
      <c r="S59" s="4"/>
      <c r="T59" s="4"/>
      <c r="U59" s="4"/>
      <c r="V59" s="4"/>
      <c r="W59" s="4"/>
    </row>
    <row r="60" spans="1:24" ht="16.5">
      <c r="A60" s="133"/>
      <c r="B60" t="s">
        <v>35</v>
      </c>
      <c r="C60" s="1">
        <v>2773.57</v>
      </c>
      <c r="D60" s="1">
        <v>2773.57</v>
      </c>
      <c r="E60" s="1">
        <f>+C60-D60</f>
        <v>0</v>
      </c>
      <c r="F60" s="10">
        <v>0</v>
      </c>
      <c r="G60" s="107">
        <f t="shared" ref="G60:G62" si="14">+E60-F60</f>
        <v>0</v>
      </c>
      <c r="H60" s="122"/>
      <c r="I60" s="122"/>
      <c r="J60" s="122"/>
      <c r="K60" s="122"/>
      <c r="L60" s="122"/>
      <c r="M60" s="122"/>
      <c r="N60" s="123"/>
      <c r="O60" s="124"/>
      <c r="P60" s="122"/>
      <c r="Q60" s="1">
        <f t="shared" si="7"/>
        <v>0</v>
      </c>
      <c r="R60" s="1">
        <f t="shared" si="8"/>
        <v>0</v>
      </c>
      <c r="S60" s="4"/>
      <c r="T60" s="4"/>
      <c r="U60" s="4"/>
      <c r="V60" s="4"/>
      <c r="W60" s="4"/>
    </row>
    <row r="61" spans="1:24">
      <c r="A61" s="24">
        <v>38992</v>
      </c>
      <c r="B61" t="s">
        <v>146</v>
      </c>
      <c r="C61" s="1">
        <v>121</v>
      </c>
      <c r="D61" s="1">
        <v>121</v>
      </c>
      <c r="E61" s="1">
        <f t="shared" ref="E61:E62" si="15">+C61-D61</f>
        <v>0</v>
      </c>
      <c r="F61" s="10">
        <v>0</v>
      </c>
      <c r="G61" s="107">
        <f t="shared" si="14"/>
        <v>0</v>
      </c>
      <c r="H61" s="10"/>
      <c r="I61" s="10"/>
      <c r="J61" s="10"/>
      <c r="K61" s="10"/>
      <c r="L61" s="10"/>
      <c r="M61" s="10"/>
      <c r="N61" s="10"/>
      <c r="O61" s="10"/>
      <c r="P61" s="10"/>
      <c r="Q61" s="1">
        <f t="shared" si="7"/>
        <v>0</v>
      </c>
      <c r="R61" s="1">
        <f t="shared" si="8"/>
        <v>0</v>
      </c>
      <c r="S61" s="4"/>
      <c r="T61" s="4"/>
      <c r="U61" s="4"/>
      <c r="V61" s="4"/>
      <c r="W61" s="4"/>
    </row>
    <row r="62" spans="1:24">
      <c r="A62" s="24">
        <v>38992</v>
      </c>
      <c r="B62" t="s">
        <v>69</v>
      </c>
      <c r="C62" s="1">
        <v>302.68</v>
      </c>
      <c r="D62" s="1">
        <v>302.68</v>
      </c>
      <c r="E62" s="1">
        <f t="shared" si="15"/>
        <v>0</v>
      </c>
      <c r="F62" s="10">
        <v>0</v>
      </c>
      <c r="G62" s="107">
        <f t="shared" si="14"/>
        <v>0</v>
      </c>
      <c r="H62" s="10"/>
      <c r="I62" s="10"/>
      <c r="J62" s="10"/>
      <c r="K62" s="10"/>
      <c r="L62" s="10"/>
      <c r="M62" s="10"/>
      <c r="N62" s="10"/>
      <c r="O62" s="10"/>
      <c r="P62" s="10"/>
      <c r="Q62" s="1">
        <f t="shared" si="7"/>
        <v>0</v>
      </c>
      <c r="R62" s="1">
        <f t="shared" si="8"/>
        <v>0</v>
      </c>
      <c r="S62" s="4"/>
      <c r="T62" s="4"/>
      <c r="U62" s="4"/>
      <c r="V62" s="4"/>
      <c r="W62" s="4"/>
    </row>
    <row r="63" spans="1:24" ht="17.25" thickBot="1">
      <c r="A63" s="133"/>
      <c r="C63" s="3">
        <f t="shared" ref="C63" si="16">SUM(C60:C62)</f>
        <v>3197.25</v>
      </c>
      <c r="D63" s="3">
        <f>SUM(D60:D62)</f>
        <v>3197.25</v>
      </c>
      <c r="E63" s="3">
        <f>SUM(E60:E62)</f>
        <v>0</v>
      </c>
      <c r="F63" s="3">
        <f>SUM(F60:F62)</f>
        <v>0</v>
      </c>
      <c r="G63" s="3">
        <f>SUM(G60:G62)</f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f t="shared" si="7"/>
        <v>0</v>
      </c>
      <c r="R63" s="3">
        <f t="shared" si="8"/>
        <v>0</v>
      </c>
      <c r="S63" s="4"/>
      <c r="T63" s="4"/>
      <c r="U63" s="4"/>
      <c r="V63" s="4"/>
      <c r="W63" s="4"/>
    </row>
    <row r="64" spans="1:24" ht="17.25" thickTop="1">
      <c r="A64" s="133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1"/>
      <c r="S64" s="4"/>
      <c r="T64" s="4"/>
      <c r="U64" s="4"/>
      <c r="V64" s="4"/>
      <c r="W64" s="4"/>
    </row>
    <row r="65" spans="1:23" ht="16.5">
      <c r="A65" s="133"/>
      <c r="B65" s="121"/>
      <c r="C65" s="1" t="s">
        <v>30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6.5">
      <c r="A66" s="133"/>
      <c r="B66" s="121"/>
      <c r="F66" s="4"/>
      <c r="G66" s="4"/>
      <c r="H66" s="190"/>
      <c r="I66" s="190"/>
      <c r="J66" s="190"/>
      <c r="K66" s="190"/>
      <c r="L66" s="190"/>
      <c r="M66" s="190"/>
      <c r="N66" s="190"/>
      <c r="O66" s="190"/>
      <c r="P66" s="190"/>
      <c r="Q66" s="190"/>
      <c r="R66" s="4"/>
      <c r="S66" s="4"/>
      <c r="T66" s="4"/>
      <c r="U66" s="4"/>
      <c r="V66" s="4"/>
      <c r="W66" s="4"/>
    </row>
    <row r="67" spans="1:23" ht="16.5">
      <c r="A67" s="133"/>
      <c r="B67" s="121"/>
      <c r="G67" s="4"/>
      <c r="H67" s="150"/>
      <c r="I67" s="150"/>
      <c r="J67" s="150"/>
      <c r="K67" s="150"/>
      <c r="L67" s="150"/>
      <c r="M67" s="150"/>
      <c r="N67" s="150"/>
      <c r="O67" s="150"/>
      <c r="P67" s="150"/>
      <c r="Q67" s="150"/>
      <c r="R67" s="4"/>
      <c r="S67" s="4"/>
    </row>
    <row r="68" spans="1:23" ht="16.5">
      <c r="A68" s="133"/>
      <c r="B68" s="12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23" ht="16.5">
      <c r="A69" s="133"/>
    </row>
    <row r="70" spans="1:23" ht="16.5">
      <c r="A70" s="133"/>
    </row>
    <row r="71" spans="1:23" ht="16.5">
      <c r="A71" s="133"/>
    </row>
    <row r="72" spans="1:23" ht="16.5">
      <c r="A72" s="133"/>
    </row>
    <row r="73" spans="1:23" ht="16.5">
      <c r="A73" s="133"/>
    </row>
    <row r="74" spans="1:23" ht="16.5">
      <c r="A74" s="133"/>
    </row>
    <row r="75" spans="1:23" ht="16.5">
      <c r="A75" s="133"/>
    </row>
    <row r="76" spans="1:23" ht="16.5">
      <c r="A76" s="133"/>
    </row>
  </sheetData>
  <mergeCells count="2">
    <mergeCell ref="H3:Q3"/>
    <mergeCell ref="H66:Q66"/>
  </mergeCells>
  <pageMargins left="0.98425196850393704" right="0.31496062992125984" top="0.98425196850393704" bottom="0.55118110236220474" header="0.31496062992125984" footer="0.31496062992125984"/>
  <pageSetup paperSize="9" scale="4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5" sqref="A15"/>
    </sheetView>
  </sheetViews>
  <sheetFormatPr baseColWidth="10" defaultRowHeight="15"/>
  <cols>
    <col min="1" max="1" width="12.7109375" bestFit="1" customWidth="1"/>
    <col min="2" max="2" width="28" customWidth="1"/>
    <col min="3" max="3" width="14.7109375" customWidth="1"/>
    <col min="4" max="4" width="14.28515625" customWidth="1"/>
    <col min="5" max="5" width="16.28515625" customWidth="1"/>
  </cols>
  <sheetData>
    <row r="1" spans="1:5" ht="15.75">
      <c r="A1" s="161" t="s">
        <v>31</v>
      </c>
      <c r="B1" s="161"/>
      <c r="C1" s="162"/>
      <c r="D1" s="162"/>
      <c r="E1" s="162"/>
    </row>
    <row r="2" spans="1:5" ht="15.75">
      <c r="A2" s="161" t="s">
        <v>148</v>
      </c>
      <c r="B2" s="161"/>
      <c r="C2" s="162"/>
      <c r="D2" s="162"/>
      <c r="E2" s="162"/>
    </row>
    <row r="3" spans="1:5" ht="15.75">
      <c r="A3" s="161" t="s">
        <v>211</v>
      </c>
      <c r="B3" s="161"/>
      <c r="C3" s="162"/>
      <c r="D3" s="162"/>
      <c r="E3" s="163" t="s">
        <v>77</v>
      </c>
    </row>
    <row r="4" spans="1:5" ht="30.75">
      <c r="A4" s="163" t="s">
        <v>104</v>
      </c>
      <c r="B4" s="163" t="s">
        <v>103</v>
      </c>
      <c r="C4" s="164" t="s">
        <v>33</v>
      </c>
      <c r="D4" s="164" t="s">
        <v>213</v>
      </c>
      <c r="E4" s="164" t="s">
        <v>71</v>
      </c>
    </row>
    <row r="5" spans="1:5" ht="15.75">
      <c r="A5" s="162"/>
      <c r="B5" s="162" t="s">
        <v>30</v>
      </c>
      <c r="C5" s="165" t="s">
        <v>30</v>
      </c>
      <c r="D5" s="166" t="s">
        <v>30</v>
      </c>
      <c r="E5" s="165" t="s">
        <v>30</v>
      </c>
    </row>
    <row r="6" spans="1:5" ht="15.75">
      <c r="A6" s="167">
        <v>43861</v>
      </c>
      <c r="B6" s="162" t="s">
        <v>149</v>
      </c>
      <c r="C6" s="168">
        <v>36913.800000000003</v>
      </c>
      <c r="D6" s="168">
        <v>0</v>
      </c>
      <c r="E6" s="168">
        <f>+C6-D6</f>
        <v>36913.800000000003</v>
      </c>
    </row>
    <row r="7" spans="1:5" ht="15.75">
      <c r="A7" s="167"/>
      <c r="B7" s="162"/>
      <c r="C7" s="165"/>
      <c r="D7" s="166"/>
      <c r="E7" s="165" t="s">
        <v>30</v>
      </c>
    </row>
    <row r="8" spans="1:5" ht="15.75">
      <c r="A8" s="167">
        <v>44500</v>
      </c>
      <c r="B8" s="162" t="s">
        <v>212</v>
      </c>
      <c r="C8" s="169">
        <v>4878.04</v>
      </c>
      <c r="D8" s="169">
        <v>0</v>
      </c>
      <c r="E8" s="169">
        <f>+C8-D8</f>
        <v>4878.04</v>
      </c>
    </row>
    <row r="9" spans="1:5" ht="15.75">
      <c r="A9" s="170"/>
      <c r="B9" s="170"/>
      <c r="C9" s="170"/>
      <c r="D9" s="170"/>
      <c r="E9" s="170"/>
    </row>
    <row r="10" spans="1:5" ht="15.75">
      <c r="A10" s="170"/>
      <c r="B10" s="170"/>
      <c r="C10" s="171">
        <f>+C6+C8</f>
        <v>41791.840000000004</v>
      </c>
      <c r="D10" s="171">
        <f t="shared" ref="D10:E10" si="0">+D6+D8</f>
        <v>0</v>
      </c>
      <c r="E10" s="171">
        <f t="shared" si="0"/>
        <v>41791.840000000004</v>
      </c>
    </row>
  </sheetData>
  <pageMargins left="0.70866141732283472" right="0.70866141732283472" top="1.1023622047244095" bottom="0.74803149606299213" header="0.31496062992125984" footer="0.31496062992125984"/>
  <pageSetup paperSize="9" orientation="portrait" horizontalDpi="0" verticalDpi="0" r:id="rId1"/>
  <headerFooter>
    <oddFooter>&amp;L&amp;D&amp;R&amp;F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Resumen2021</vt:lpstr>
      <vt:lpstr>Vehiculos</vt:lpstr>
      <vt:lpstr>Eq.Computac</vt:lpstr>
      <vt:lpstr>Muebles </vt:lpstr>
      <vt:lpstr>EuiposProyecc</vt:lpstr>
      <vt:lpstr>Eq.Computac!Área_de_impresión</vt:lpstr>
      <vt:lpstr>'Muebles '!Área_de_impresión</vt:lpstr>
      <vt:lpstr>Resumen2021!Área_de_impresión</vt:lpstr>
      <vt:lpstr>Vehiculos!Área_de_impresión</vt:lpstr>
      <vt:lpstr>Eq.Computac!Títulos_a_imprimir</vt:lpstr>
      <vt:lpstr>'Muebles 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</dc:creator>
  <cp:lastModifiedBy>Joffre Torres Panta</cp:lastModifiedBy>
  <cp:lastPrinted>2022-02-11T01:58:32Z</cp:lastPrinted>
  <dcterms:created xsi:type="dcterms:W3CDTF">2015-01-27T19:36:17Z</dcterms:created>
  <dcterms:modified xsi:type="dcterms:W3CDTF">2022-02-18T22:55:08Z</dcterms:modified>
</cp:coreProperties>
</file>