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Carlos Almeida\Documents\CPAlmeida\CLIENTES\Telconet 2019\Combinado Telconet &amp; Megadatos 2019\"/>
    </mc:Choice>
  </mc:AlternateContent>
  <xr:revisionPtr revIDLastSave="0" documentId="13_ncr:1_{C8854244-B30E-4998-9F0D-C9D11B1FE234}" xr6:coauthVersionLast="45" xr6:coauthVersionMax="45" xr10:uidLastSave="{00000000-0000-0000-0000-000000000000}"/>
  <bookViews>
    <workbookView xWindow="-120" yWindow="-120" windowWidth="20730" windowHeight="11160" tabRatio="698" activeTab="8" xr2:uid="{00000000-000D-0000-FFFF-FFFF00000000}"/>
  </bookViews>
  <sheets>
    <sheet name="Indice" sheetId="10" r:id="rId1"/>
    <sheet name="BG " sheetId="1" r:id="rId2"/>
    <sheet name="ER" sheetId="3" r:id="rId3"/>
    <sheet name="EFE" sheetId="6" r:id="rId4"/>
    <sheet name="Hoja de trabajo" sheetId="12" r:id="rId5"/>
    <sheet name="PAT" sheetId="4" r:id="rId6"/>
    <sheet name="AD" sheetId="5" r:id="rId7"/>
    <sheet name="Impuesto diferido" sheetId="11" r:id="rId8"/>
    <sheet name="Ratios" sheetId="7" r:id="rId9"/>
    <sheet name="PP&amp;E" sheetId="8" state="hidden" r:id="rId10"/>
    <sheet name="Impto diferido" sheetId="9" state="hidden" r:id="rId11"/>
  </sheets>
  <externalReferences>
    <externalReference r:id="rId12"/>
  </externalReferences>
  <definedNames>
    <definedName name="_xlnm.Print_Area" localSheetId="6">AD!$A$1:$S$67</definedName>
    <definedName name="_xlnm.Print_Area" localSheetId="1">'BG '!$A$6:$U$74</definedName>
    <definedName name="_xlnm.Print_Area" localSheetId="3">EFE!$B$1:$V$74</definedName>
    <definedName name="_xlnm.Print_Area" localSheetId="2">ER!$A$1:$Y$40</definedName>
    <definedName name="_xlnm.Print_Area" localSheetId="5">PAT!$A$1:$J$153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7" l="1"/>
  <c r="N70" i="6"/>
  <c r="O36" i="6"/>
  <c r="M36" i="6"/>
  <c r="O60" i="1"/>
  <c r="M60" i="1"/>
  <c r="L51" i="1" l="1"/>
  <c r="M51" i="1"/>
  <c r="N51" i="1"/>
  <c r="O51" i="1"/>
  <c r="O38" i="1"/>
  <c r="M38" i="1"/>
  <c r="K51" i="1"/>
  <c r="H43" i="1" l="1"/>
  <c r="L21" i="12"/>
  <c r="I51" i="6" l="1"/>
  <c r="I21" i="6"/>
  <c r="B74" i="12"/>
  <c r="K44" i="12"/>
  <c r="B68" i="12"/>
  <c r="I67" i="6"/>
  <c r="I65" i="6"/>
  <c r="I53" i="6"/>
  <c r="I50" i="6"/>
  <c r="I49" i="6"/>
  <c r="I32" i="6"/>
  <c r="I31" i="6"/>
  <c r="I30" i="6"/>
  <c r="I29" i="6"/>
  <c r="I28" i="6"/>
  <c r="I27" i="6"/>
  <c r="I26" i="6"/>
  <c r="G22" i="6"/>
  <c r="I22" i="6" s="1"/>
  <c r="F18" i="6"/>
  <c r="E18" i="6"/>
  <c r="E11" i="3"/>
  <c r="H8" i="6"/>
  <c r="H23" i="6" s="1"/>
  <c r="E8" i="6"/>
  <c r="K39" i="12"/>
  <c r="K38" i="12"/>
  <c r="B48" i="12"/>
  <c r="B40" i="12"/>
  <c r="M14" i="12"/>
  <c r="M13" i="12"/>
  <c r="M12" i="12"/>
  <c r="M11" i="12"/>
  <c r="M10" i="12"/>
  <c r="M9" i="12"/>
  <c r="M8" i="12"/>
  <c r="M7" i="12"/>
  <c r="M5" i="12"/>
  <c r="I73" i="6" s="1"/>
  <c r="M26" i="12"/>
  <c r="M25" i="12"/>
  <c r="M24" i="12"/>
  <c r="M23" i="12"/>
  <c r="M21" i="12"/>
  <c r="M20" i="12"/>
  <c r="M19" i="12"/>
  <c r="M18" i="12"/>
  <c r="N23" i="12"/>
  <c r="L19" i="12"/>
  <c r="L8" i="12"/>
  <c r="K10" i="12"/>
  <c r="K26" i="12"/>
  <c r="L26" i="12" s="1"/>
  <c r="K25" i="12"/>
  <c r="L25" i="12" s="1"/>
  <c r="K24" i="12"/>
  <c r="K23" i="12"/>
  <c r="K22" i="12"/>
  <c r="K21" i="12"/>
  <c r="K20" i="12"/>
  <c r="K19" i="12"/>
  <c r="K18" i="12"/>
  <c r="K14" i="12"/>
  <c r="L14" i="12" s="1"/>
  <c r="K13" i="12"/>
  <c r="K12" i="12"/>
  <c r="K11" i="12"/>
  <c r="K8" i="12"/>
  <c r="K7" i="12"/>
  <c r="K6" i="12"/>
  <c r="K5" i="12"/>
  <c r="D26" i="12"/>
  <c r="D25" i="12"/>
  <c r="D24" i="12"/>
  <c r="D23" i="12"/>
  <c r="D22" i="12"/>
  <c r="D21" i="12"/>
  <c r="D20" i="12"/>
  <c r="D19" i="12"/>
  <c r="D18" i="12"/>
  <c r="D13" i="12"/>
  <c r="C13" i="12" s="1"/>
  <c r="D12" i="12"/>
  <c r="D11" i="12"/>
  <c r="D10" i="12"/>
  <c r="D9" i="12"/>
  <c r="D8" i="12"/>
  <c r="D7" i="12"/>
  <c r="D6" i="12"/>
  <c r="D5" i="12"/>
  <c r="R5" i="12" s="1"/>
  <c r="C10" i="12"/>
  <c r="C7" i="12"/>
  <c r="B26" i="12"/>
  <c r="B25" i="12"/>
  <c r="B24" i="12"/>
  <c r="B23" i="12"/>
  <c r="B22" i="12"/>
  <c r="B21" i="12"/>
  <c r="B20" i="12"/>
  <c r="C20" i="12" s="1"/>
  <c r="B19" i="12"/>
  <c r="B18" i="12"/>
  <c r="B13" i="12"/>
  <c r="B12" i="12"/>
  <c r="C12" i="12" s="1"/>
  <c r="B11" i="12"/>
  <c r="B10" i="12"/>
  <c r="B9" i="12"/>
  <c r="B8" i="12"/>
  <c r="C8" i="12" s="1"/>
  <c r="B7" i="12"/>
  <c r="B6" i="12"/>
  <c r="B5" i="12"/>
  <c r="B91" i="12"/>
  <c r="B39" i="12"/>
  <c r="L34" i="12"/>
  <c r="Q30" i="12"/>
  <c r="O30" i="12"/>
  <c r="P30" i="12" s="1"/>
  <c r="N26" i="12"/>
  <c r="C26" i="12"/>
  <c r="P25" i="12"/>
  <c r="O25" i="12"/>
  <c r="P23" i="12" s="1"/>
  <c r="G25" i="12"/>
  <c r="O24" i="12"/>
  <c r="L24" i="12"/>
  <c r="I36" i="6" s="1"/>
  <c r="O23" i="12"/>
  <c r="H23" i="12"/>
  <c r="H26" i="12" s="1"/>
  <c r="H32" i="12" s="1"/>
  <c r="F23" i="12"/>
  <c r="E23" i="12" s="1"/>
  <c r="C23" i="12"/>
  <c r="O22" i="12"/>
  <c r="F22" i="12"/>
  <c r="E22" i="12" s="1"/>
  <c r="P21" i="12"/>
  <c r="O21" i="12"/>
  <c r="N21" i="12" s="1"/>
  <c r="F21" i="12"/>
  <c r="E21" i="12" s="1"/>
  <c r="Q20" i="12"/>
  <c r="O20" i="12"/>
  <c r="N20" i="12" s="1"/>
  <c r="L20" i="12"/>
  <c r="F20" i="12"/>
  <c r="G20" i="12" s="1"/>
  <c r="P19" i="12"/>
  <c r="O19" i="12"/>
  <c r="F19" i="12"/>
  <c r="O18" i="12"/>
  <c r="N18" i="12"/>
  <c r="F18" i="12"/>
  <c r="G18" i="12" s="1"/>
  <c r="C18" i="12"/>
  <c r="P17" i="12"/>
  <c r="F17" i="12"/>
  <c r="E17" i="12" s="1"/>
  <c r="Q16" i="12"/>
  <c r="Q26" i="12" s="1"/>
  <c r="F16" i="12"/>
  <c r="E16" i="12"/>
  <c r="O14" i="12"/>
  <c r="N14" i="12" s="1"/>
  <c r="L13" i="12"/>
  <c r="F13" i="12"/>
  <c r="G13" i="12" s="1"/>
  <c r="E13" i="12"/>
  <c r="Q12" i="12"/>
  <c r="O12" i="12"/>
  <c r="P12" i="12" s="1"/>
  <c r="F12" i="12"/>
  <c r="E12" i="12" s="1"/>
  <c r="Q11" i="12"/>
  <c r="O11" i="12"/>
  <c r="P11" i="12" s="1"/>
  <c r="G11" i="12"/>
  <c r="F11" i="12"/>
  <c r="O10" i="12"/>
  <c r="N10" i="12" s="1"/>
  <c r="F10" i="12"/>
  <c r="E10" i="12" s="1"/>
  <c r="O9" i="12"/>
  <c r="P9" i="12" s="1"/>
  <c r="F9" i="12"/>
  <c r="G9" i="12" s="1"/>
  <c r="O8" i="12"/>
  <c r="F8" i="12"/>
  <c r="G8" i="12" s="1"/>
  <c r="E8" i="12"/>
  <c r="O7" i="12"/>
  <c r="P7" i="12" s="1"/>
  <c r="F7" i="12"/>
  <c r="G7" i="12" s="1"/>
  <c r="Q6" i="12"/>
  <c r="O6" i="12"/>
  <c r="P6" i="12" s="1"/>
  <c r="F6" i="12"/>
  <c r="G6" i="12" s="1"/>
  <c r="O5" i="12"/>
  <c r="N5" i="12" s="1"/>
  <c r="L5" i="12"/>
  <c r="F5" i="12"/>
  <c r="G5" i="12" s="1"/>
  <c r="G23" i="12" l="1"/>
  <c r="E7" i="12"/>
  <c r="E9" i="12"/>
  <c r="B85" i="12"/>
  <c r="L11" i="12"/>
  <c r="L7" i="12"/>
  <c r="N8" i="12"/>
  <c r="L10" i="12"/>
  <c r="N24" i="12"/>
  <c r="L23" i="12"/>
  <c r="N19" i="12"/>
  <c r="N12" i="12"/>
  <c r="E5" i="12"/>
  <c r="C9" i="12"/>
  <c r="P20" i="12"/>
  <c r="F26" i="12"/>
  <c r="O27" i="12"/>
  <c r="G22" i="12"/>
  <c r="D15" i="12"/>
  <c r="G10" i="12"/>
  <c r="G21" i="12"/>
  <c r="G16" i="12"/>
  <c r="P18" i="12"/>
  <c r="L12" i="12"/>
  <c r="B92" i="12"/>
  <c r="B93" i="12" s="1"/>
  <c r="B94" i="12" s="1"/>
  <c r="K27" i="12"/>
  <c r="E11" i="12"/>
  <c r="C21" i="12"/>
  <c r="C24" i="12"/>
  <c r="E19" i="12"/>
  <c r="C22" i="12"/>
  <c r="C25" i="12"/>
  <c r="C11" i="12"/>
  <c r="C19" i="12"/>
  <c r="B15" i="12"/>
  <c r="C6" i="12"/>
  <c r="F32" i="12"/>
  <c r="Q27" i="12"/>
  <c r="Q32" i="12" s="1"/>
  <c r="C5" i="12"/>
  <c r="P5" i="12"/>
  <c r="E6" i="12"/>
  <c r="N7" i="12"/>
  <c r="P8" i="12"/>
  <c r="N9" i="12"/>
  <c r="P10" i="12"/>
  <c r="N11" i="12"/>
  <c r="G12" i="12"/>
  <c r="O15" i="12"/>
  <c r="O28" i="12" s="1"/>
  <c r="O32" i="12" s="1"/>
  <c r="P16" i="12"/>
  <c r="G17" i="12"/>
  <c r="E18" i="12"/>
  <c r="L18" i="12"/>
  <c r="G19" i="12"/>
  <c r="E20" i="12"/>
  <c r="P22" i="12"/>
  <c r="N25" i="12"/>
  <c r="P13" i="12"/>
  <c r="F19" i="6" l="1"/>
  <c r="H20" i="5" l="1"/>
  <c r="H9" i="5" l="1"/>
  <c r="L68" i="1" l="1"/>
  <c r="L69" i="1"/>
  <c r="L70" i="1"/>
  <c r="L71" i="1"/>
  <c r="K70" i="1"/>
  <c r="K71" i="1"/>
  <c r="K69" i="1"/>
  <c r="K68" i="1"/>
  <c r="G28" i="3" l="1"/>
  <c r="H47" i="1" l="1"/>
  <c r="I58" i="1"/>
  <c r="I61" i="1"/>
  <c r="I62" i="1"/>
  <c r="I63" i="1"/>
  <c r="D69" i="1" l="1"/>
  <c r="D68" i="1"/>
  <c r="F132" i="4"/>
  <c r="G64" i="4"/>
  <c r="I64" i="4"/>
  <c r="E68" i="1"/>
  <c r="E69" i="1"/>
  <c r="F169" i="4"/>
  <c r="F34" i="3"/>
  <c r="H34" i="3" s="1"/>
  <c r="J23" i="4"/>
  <c r="H23" i="4"/>
  <c r="G24" i="4"/>
  <c r="H24" i="4"/>
  <c r="I24" i="4"/>
  <c r="J24" i="4"/>
  <c r="F24" i="4"/>
  <c r="E51" i="1"/>
  <c r="I38" i="1"/>
  <c r="G38" i="1"/>
  <c r="G28" i="1"/>
  <c r="I28" i="1" s="1"/>
  <c r="I11" i="1"/>
  <c r="G60" i="1" l="1"/>
  <c r="H8" i="11" l="1"/>
  <c r="F27" i="11" s="1"/>
  <c r="H7" i="11"/>
  <c r="E27" i="11" s="1"/>
  <c r="G27" i="11" l="1"/>
  <c r="H169" i="4"/>
  <c r="J169" i="4" s="1"/>
  <c r="J37" i="4"/>
  <c r="H37" i="4"/>
  <c r="G38" i="4"/>
  <c r="I38" i="4"/>
  <c r="F38" i="4"/>
  <c r="G62" i="5" l="1"/>
  <c r="H63" i="5" s="1"/>
  <c r="H60" i="1"/>
  <c r="I60" i="1" s="1"/>
  <c r="H13" i="1"/>
  <c r="G7" i="3"/>
  <c r="H9" i="11" l="1"/>
  <c r="H27" i="11" s="1"/>
  <c r="I27" i="11" s="1"/>
  <c r="G35" i="3"/>
  <c r="G20" i="5"/>
  <c r="H52" i="4" l="1"/>
  <c r="J52" i="4" s="1"/>
  <c r="F94" i="4"/>
  <c r="F171" i="4"/>
  <c r="H171" i="4" s="1"/>
  <c r="F170" i="4"/>
  <c r="H133" i="4"/>
  <c r="J133" i="4" s="1"/>
  <c r="H22" i="4"/>
  <c r="J22" i="4" s="1"/>
  <c r="G29" i="5"/>
  <c r="H51" i="1" s="1"/>
  <c r="H43" i="5" l="1"/>
  <c r="G43" i="5"/>
  <c r="H38" i="5"/>
  <c r="G38" i="5"/>
  <c r="H24" i="5"/>
  <c r="G8" i="3" s="1"/>
  <c r="I80" i="4"/>
  <c r="G171" i="4"/>
  <c r="J171" i="4" s="1"/>
  <c r="G170" i="4"/>
  <c r="H170" i="4" s="1"/>
  <c r="J170" i="4" s="1"/>
  <c r="I95" i="4"/>
  <c r="G94" i="4"/>
  <c r="H94" i="4" s="1"/>
  <c r="H135" i="4"/>
  <c r="J135" i="4" s="1"/>
  <c r="H134" i="4"/>
  <c r="J134" i="4" s="1"/>
  <c r="H132" i="4"/>
  <c r="J132" i="4" s="1"/>
  <c r="H54" i="4"/>
  <c r="J54" i="4" s="1"/>
  <c r="G65" i="6"/>
  <c r="G66" i="6"/>
  <c r="I66" i="6" s="1"/>
  <c r="F46" i="1"/>
  <c r="F51" i="1" s="1"/>
  <c r="G49" i="1"/>
  <c r="I49" i="1" s="1"/>
  <c r="F14" i="1"/>
  <c r="F18" i="1" s="1"/>
  <c r="F27" i="1"/>
  <c r="G27" i="1" s="1"/>
  <c r="I27" i="1" s="1"/>
  <c r="H74" i="6"/>
  <c r="H69" i="6"/>
  <c r="F69" i="6"/>
  <c r="E69" i="6"/>
  <c r="G68" i="6"/>
  <c r="I68" i="6" s="1"/>
  <c r="G67" i="6"/>
  <c r="G64" i="6"/>
  <c r="G63" i="6"/>
  <c r="I63" i="6" s="1"/>
  <c r="G62" i="6"/>
  <c r="I62" i="6" s="1"/>
  <c r="G61" i="6"/>
  <c r="F58" i="6"/>
  <c r="E58" i="6"/>
  <c r="G57" i="6"/>
  <c r="I56" i="6"/>
  <c r="G55" i="6"/>
  <c r="I55" i="6" s="1"/>
  <c r="G54" i="6"/>
  <c r="G53" i="6"/>
  <c r="G52" i="6"/>
  <c r="G50" i="6"/>
  <c r="G49" i="6"/>
  <c r="G45" i="6"/>
  <c r="G44" i="6"/>
  <c r="I44" i="6" s="1"/>
  <c r="B75" i="12" s="1"/>
  <c r="B76" i="12" s="1"/>
  <c r="G43" i="6"/>
  <c r="I43" i="6" s="1"/>
  <c r="B69" i="12" s="1"/>
  <c r="B70" i="12" s="1"/>
  <c r="G41" i="6"/>
  <c r="G40" i="6"/>
  <c r="I40" i="6" s="1"/>
  <c r="G39" i="6"/>
  <c r="I39" i="6" s="1"/>
  <c r="G38" i="6"/>
  <c r="G37" i="6"/>
  <c r="G35" i="6"/>
  <c r="G34" i="6"/>
  <c r="G33" i="6"/>
  <c r="G32" i="6"/>
  <c r="G31" i="6"/>
  <c r="G30" i="6"/>
  <c r="G29" i="6"/>
  <c r="G28" i="6"/>
  <c r="G27" i="6"/>
  <c r="G26" i="6"/>
  <c r="G25" i="6"/>
  <c r="G21" i="6"/>
  <c r="E23" i="6"/>
  <c r="E42" i="6" s="1"/>
  <c r="E46" i="6" s="1"/>
  <c r="G19" i="6"/>
  <c r="I19" i="6" s="1"/>
  <c r="G18" i="6"/>
  <c r="I18" i="6" s="1"/>
  <c r="G17" i="6"/>
  <c r="I17" i="6" s="1"/>
  <c r="G16" i="6"/>
  <c r="I16" i="6" s="1"/>
  <c r="G15" i="6"/>
  <c r="I15" i="6" s="1"/>
  <c r="G14" i="6"/>
  <c r="I14" i="6" s="1"/>
  <c r="G13" i="6"/>
  <c r="I13" i="6" s="1"/>
  <c r="G12" i="6"/>
  <c r="G11" i="6"/>
  <c r="I11" i="6" s="1"/>
  <c r="G10" i="6"/>
  <c r="I10" i="6" s="1"/>
  <c r="I40" i="3"/>
  <c r="F39" i="3"/>
  <c r="H39" i="3" s="1"/>
  <c r="F35" i="3"/>
  <c r="H35" i="3" s="1"/>
  <c r="F31" i="3"/>
  <c r="H31" i="3" s="1"/>
  <c r="F28" i="3"/>
  <c r="F27" i="3"/>
  <c r="H27" i="3" s="1"/>
  <c r="H26" i="3"/>
  <c r="G25" i="3"/>
  <c r="E25" i="3"/>
  <c r="D25" i="3"/>
  <c r="F24" i="3"/>
  <c r="H24" i="3" s="1"/>
  <c r="F23" i="3"/>
  <c r="H23" i="3" s="1"/>
  <c r="H22" i="3"/>
  <c r="F22" i="3"/>
  <c r="F21" i="3"/>
  <c r="H21" i="3" s="1"/>
  <c r="F20" i="3"/>
  <c r="H20" i="3" s="1"/>
  <c r="F19" i="3"/>
  <c r="H19" i="3" s="1"/>
  <c r="F18" i="3"/>
  <c r="H18" i="3" s="1"/>
  <c r="F17" i="3"/>
  <c r="H17" i="3" s="1"/>
  <c r="F16" i="3"/>
  <c r="H16" i="3" s="1"/>
  <c r="F15" i="3"/>
  <c r="H15" i="3" s="1"/>
  <c r="H14" i="3"/>
  <c r="F14" i="3"/>
  <c r="F13" i="3"/>
  <c r="H13" i="3" s="1"/>
  <c r="F12" i="3"/>
  <c r="H12" i="3" s="1"/>
  <c r="F11" i="3"/>
  <c r="H11" i="3" s="1"/>
  <c r="E9" i="3"/>
  <c r="D9" i="3"/>
  <c r="F8" i="3"/>
  <c r="H8" i="3" s="1"/>
  <c r="G9" i="3"/>
  <c r="F7" i="3"/>
  <c r="G69" i="1"/>
  <c r="I69" i="1" s="1"/>
  <c r="F72" i="1"/>
  <c r="F64" i="1"/>
  <c r="G63" i="1"/>
  <c r="G62" i="1"/>
  <c r="G61" i="1"/>
  <c r="H64" i="1"/>
  <c r="E64" i="1"/>
  <c r="G58" i="1"/>
  <c r="G57" i="1"/>
  <c r="I57" i="1" s="1"/>
  <c r="G55" i="1"/>
  <c r="I55" i="1" s="1"/>
  <c r="G54" i="1"/>
  <c r="G50" i="1"/>
  <c r="G48" i="1"/>
  <c r="I48" i="1" s="1"/>
  <c r="G47" i="1"/>
  <c r="G45" i="1"/>
  <c r="I45" i="1" s="1"/>
  <c r="I44" i="1"/>
  <c r="G43" i="1"/>
  <c r="G42" i="1"/>
  <c r="I42" i="1" s="1"/>
  <c r="G40" i="1"/>
  <c r="I40" i="1" s="1"/>
  <c r="G39" i="1"/>
  <c r="E33" i="1"/>
  <c r="G32" i="1"/>
  <c r="I32" i="1" s="1"/>
  <c r="G31" i="1"/>
  <c r="G30" i="1"/>
  <c r="I30" i="1" s="1"/>
  <c r="G29" i="1"/>
  <c r="I29" i="1" s="1"/>
  <c r="G26" i="1"/>
  <c r="I26" i="1" s="1"/>
  <c r="G25" i="1"/>
  <c r="G24" i="1"/>
  <c r="I24" i="1" s="1"/>
  <c r="G23" i="1"/>
  <c r="E18" i="1"/>
  <c r="G17" i="1"/>
  <c r="I17" i="1" s="1"/>
  <c r="G16" i="1"/>
  <c r="I16" i="1" s="1"/>
  <c r="G15" i="1"/>
  <c r="I15" i="1" s="1"/>
  <c r="G13" i="1"/>
  <c r="I13" i="1" s="1"/>
  <c r="G12" i="1"/>
  <c r="I12" i="1" s="1"/>
  <c r="G10" i="1"/>
  <c r="I10" i="1" s="1"/>
  <c r="G9" i="1"/>
  <c r="I9" i="1" s="1"/>
  <c r="G8" i="1"/>
  <c r="I8" i="1" s="1"/>
  <c r="B47" i="12" l="1"/>
  <c r="B49" i="12" s="1"/>
  <c r="B53" i="12"/>
  <c r="B54" i="12" s="1"/>
  <c r="B63" i="12"/>
  <c r="B64" i="12" s="1"/>
  <c r="B65" i="12" s="1"/>
  <c r="B66" i="12" s="1"/>
  <c r="B80" i="12"/>
  <c r="B81" i="12" s="1"/>
  <c r="B58" i="12"/>
  <c r="B59" i="12" s="1"/>
  <c r="B77" i="12"/>
  <c r="B78" i="12" s="1"/>
  <c r="I38" i="6"/>
  <c r="B71" i="12"/>
  <c r="B72" i="12" s="1"/>
  <c r="I34" i="6"/>
  <c r="B82" i="12"/>
  <c r="B83" i="12" s="1"/>
  <c r="I25" i="6"/>
  <c r="F10" i="7"/>
  <c r="F14" i="7"/>
  <c r="G46" i="1"/>
  <c r="I46" i="1" s="1"/>
  <c r="F33" i="1"/>
  <c r="H65" i="1"/>
  <c r="I47" i="1"/>
  <c r="I43" i="1"/>
  <c r="K9" i="12" s="1"/>
  <c r="I50" i="1"/>
  <c r="G14" i="1"/>
  <c r="I14" i="1" s="1"/>
  <c r="J94" i="4"/>
  <c r="G69" i="6"/>
  <c r="F25" i="3"/>
  <c r="H25" i="3" s="1"/>
  <c r="F9" i="3"/>
  <c r="G58" i="6"/>
  <c r="I12" i="6"/>
  <c r="E70" i="6"/>
  <c r="E72" i="6" s="1"/>
  <c r="G20" i="6"/>
  <c r="I61" i="6"/>
  <c r="H58" i="6"/>
  <c r="E29" i="3"/>
  <c r="E32" i="3" s="1"/>
  <c r="H7" i="3"/>
  <c r="H9" i="3" s="1"/>
  <c r="D29" i="3"/>
  <c r="D32" i="3" s="1"/>
  <c r="D36" i="3" s="1"/>
  <c r="F65" i="1"/>
  <c r="F73" i="1" s="1"/>
  <c r="I39" i="1"/>
  <c r="G33" i="1"/>
  <c r="I23" i="1"/>
  <c r="E34" i="1"/>
  <c r="F34" i="1"/>
  <c r="E65" i="1"/>
  <c r="H18" i="1"/>
  <c r="I54" i="1"/>
  <c r="G59" i="1"/>
  <c r="I59" i="1" s="1"/>
  <c r="I64" i="1" s="1"/>
  <c r="G68" i="1"/>
  <c r="G11" i="5"/>
  <c r="H27" i="5"/>
  <c r="L9" i="12" l="1"/>
  <c r="I33" i="6" s="1"/>
  <c r="K15" i="12"/>
  <c r="K28" i="12" s="1"/>
  <c r="B42" i="12"/>
  <c r="B43" i="12" s="1"/>
  <c r="B55" i="12"/>
  <c r="B56" i="12" s="1"/>
  <c r="I45" i="6"/>
  <c r="B60" i="12"/>
  <c r="B61" i="12" s="1"/>
  <c r="I57" i="6"/>
  <c r="B50" i="12"/>
  <c r="B51" i="12" s="1"/>
  <c r="I52" i="6"/>
  <c r="E36" i="3"/>
  <c r="G136" i="4" s="1"/>
  <c r="G172" i="4" s="1"/>
  <c r="G51" i="1"/>
  <c r="D40" i="3"/>
  <c r="F136" i="4"/>
  <c r="G18" i="1"/>
  <c r="I51" i="1"/>
  <c r="I65" i="1" s="1"/>
  <c r="F23" i="7"/>
  <c r="F31" i="7" s="1"/>
  <c r="G21" i="5"/>
  <c r="G27" i="5" s="1"/>
  <c r="F74" i="1"/>
  <c r="I18" i="1"/>
  <c r="F29" i="3"/>
  <c r="F32" i="3" s="1"/>
  <c r="G34" i="1"/>
  <c r="G72" i="6"/>
  <c r="I68" i="1"/>
  <c r="G64" i="1"/>
  <c r="G65" i="1" s="1"/>
  <c r="H11" i="5"/>
  <c r="B44" i="12" l="1"/>
  <c r="B45" i="12" s="1"/>
  <c r="I54" i="6"/>
  <c r="I58" i="6" s="1"/>
  <c r="E40" i="3"/>
  <c r="F8" i="6" s="1"/>
  <c r="F23" i="6" s="1"/>
  <c r="F36" i="3"/>
  <c r="F40" i="3" s="1"/>
  <c r="F172" i="4"/>
  <c r="H172" i="4" s="1"/>
  <c r="H136" i="4"/>
  <c r="F25" i="7"/>
  <c r="G47" i="5"/>
  <c r="F42" i="6" l="1"/>
  <c r="F46" i="6" s="1"/>
  <c r="F70" i="6" s="1"/>
  <c r="G8" i="6"/>
  <c r="J24" i="5"/>
  <c r="N59" i="1"/>
  <c r="G23" i="6" l="1"/>
  <c r="G42" i="6" s="1"/>
  <c r="G46" i="6" s="1"/>
  <c r="G70" i="6" s="1"/>
  <c r="I29" i="5" l="1"/>
  <c r="L23" i="6" l="1"/>
  <c r="L35" i="6"/>
  <c r="L27" i="6"/>
  <c r="G11" i="7" l="1"/>
  <c r="M57" i="5"/>
  <c r="N58" i="5" s="1"/>
  <c r="T59" i="1"/>
  <c r="Q59" i="1"/>
  <c r="J25" i="3" l="1"/>
  <c r="F159" i="4" l="1"/>
  <c r="H166" i="4"/>
  <c r="J166" i="4" s="1"/>
  <c r="H165" i="4"/>
  <c r="J165" i="4" s="1"/>
  <c r="H164" i="4"/>
  <c r="J164" i="4" s="1"/>
  <c r="F121" i="4"/>
  <c r="K122" i="4"/>
  <c r="H163" i="4"/>
  <c r="J163" i="4" s="1"/>
  <c r="H92" i="4"/>
  <c r="H90" i="4"/>
  <c r="H128" i="4"/>
  <c r="J128" i="4" s="1"/>
  <c r="H129" i="4"/>
  <c r="H127" i="4"/>
  <c r="G120" i="4"/>
  <c r="H113" i="4" l="1"/>
  <c r="J113" i="4" s="1"/>
  <c r="H126" i="4" l="1"/>
  <c r="J126" i="4" s="1"/>
  <c r="J127" i="4"/>
  <c r="J129" i="4"/>
  <c r="M55" i="1" l="1"/>
  <c r="O55" i="1" s="1"/>
  <c r="K25" i="3"/>
  <c r="H48" i="4"/>
  <c r="J48" i="4" s="1"/>
  <c r="H20" i="4"/>
  <c r="H125" i="4"/>
  <c r="J125" i="4" s="1"/>
  <c r="L25" i="3"/>
  <c r="J20" i="4" l="1"/>
  <c r="S40" i="1"/>
  <c r="U40" i="1" s="1"/>
  <c r="M40" i="1"/>
  <c r="O40" i="1" s="1"/>
  <c r="I35" i="5" l="1"/>
  <c r="J41" i="5"/>
  <c r="J16" i="5"/>
  <c r="J9" i="5"/>
  <c r="H48" i="5" l="1"/>
  <c r="I8" i="11"/>
  <c r="F26" i="11" s="1"/>
  <c r="M28" i="3"/>
  <c r="T54" i="6"/>
  <c r="T12" i="6"/>
  <c r="N12" i="6"/>
  <c r="S7" i="3"/>
  <c r="I53" i="4"/>
  <c r="I36" i="4"/>
  <c r="G36" i="4"/>
  <c r="I21" i="4"/>
  <c r="R69" i="1"/>
  <c r="N64" i="1"/>
  <c r="N50" i="1"/>
  <c r="N47" i="1"/>
  <c r="N43" i="1"/>
  <c r="T50" i="1"/>
  <c r="T47" i="1"/>
  <c r="T43" i="1"/>
  <c r="N13" i="1"/>
  <c r="T13" i="1"/>
  <c r="M62" i="5"/>
  <c r="N63" i="5" s="1"/>
  <c r="K40" i="5"/>
  <c r="N36" i="5"/>
  <c r="M35" i="5"/>
  <c r="N24" i="5"/>
  <c r="M22" i="5" s="1"/>
  <c r="L24" i="5"/>
  <c r="K16" i="5"/>
  <c r="S28" i="3" s="1"/>
  <c r="N9" i="5"/>
  <c r="L9" i="5"/>
  <c r="J43" i="5"/>
  <c r="I43" i="5"/>
  <c r="J38" i="5"/>
  <c r="I38" i="5"/>
  <c r="J20" i="5"/>
  <c r="I20" i="5"/>
  <c r="J11" i="5"/>
  <c r="I11" i="5"/>
  <c r="J92" i="4"/>
  <c r="F16" i="4"/>
  <c r="H10" i="11" l="1"/>
  <c r="H11" i="11" s="1"/>
  <c r="G29" i="3"/>
  <c r="G32" i="3" s="1"/>
  <c r="H28" i="3"/>
  <c r="H29" i="3" s="1"/>
  <c r="N70" i="1"/>
  <c r="I55" i="4"/>
  <c r="S8" i="3"/>
  <c r="K46" i="5"/>
  <c r="Q61" i="1"/>
  <c r="Q58" i="1"/>
  <c r="Q45" i="1"/>
  <c r="Q43" i="1"/>
  <c r="Q42" i="1"/>
  <c r="Q28" i="3"/>
  <c r="Q25" i="3"/>
  <c r="P25" i="3"/>
  <c r="S73" i="6"/>
  <c r="S67" i="6"/>
  <c r="S64" i="6"/>
  <c r="S63" i="6"/>
  <c r="S57" i="6"/>
  <c r="S55" i="6"/>
  <c r="S54" i="6"/>
  <c r="S53" i="6"/>
  <c r="S52" i="6"/>
  <c r="S50" i="6"/>
  <c r="S49" i="6"/>
  <c r="S45" i="6"/>
  <c r="S44" i="6"/>
  <c r="S43" i="6"/>
  <c r="S41" i="6"/>
  <c r="S40" i="6"/>
  <c r="S39" i="6"/>
  <c r="S38" i="6"/>
  <c r="S37" i="6"/>
  <c r="S35" i="6"/>
  <c r="S34" i="6"/>
  <c r="S33" i="6"/>
  <c r="S32" i="6"/>
  <c r="S31" i="6"/>
  <c r="S30" i="6"/>
  <c r="S29" i="6"/>
  <c r="S28" i="6"/>
  <c r="S27" i="6"/>
  <c r="S26" i="6"/>
  <c r="S25" i="6"/>
  <c r="M10" i="6"/>
  <c r="M11" i="6"/>
  <c r="M12" i="6"/>
  <c r="M13" i="6"/>
  <c r="M14" i="6"/>
  <c r="M15" i="6"/>
  <c r="M16" i="6"/>
  <c r="M17" i="6"/>
  <c r="M18" i="6"/>
  <c r="M19" i="6"/>
  <c r="M20" i="6"/>
  <c r="M21" i="6"/>
  <c r="M22" i="6"/>
  <c r="Q20" i="6"/>
  <c r="Q8" i="6"/>
  <c r="I33" i="7"/>
  <c r="I25" i="7"/>
  <c r="I27" i="7" s="1"/>
  <c r="I12" i="7"/>
  <c r="I16" i="7" s="1"/>
  <c r="H32" i="3" l="1"/>
  <c r="F20" i="7"/>
  <c r="F27" i="7" s="1"/>
  <c r="G36" i="3"/>
  <c r="Q23" i="6"/>
  <c r="Q42" i="6" s="1"/>
  <c r="K18" i="11"/>
  <c r="J18" i="11"/>
  <c r="K17" i="11"/>
  <c r="J17" i="11"/>
  <c r="J15" i="11"/>
  <c r="J8" i="11"/>
  <c r="F25" i="11" s="1"/>
  <c r="K7" i="11"/>
  <c r="E24" i="11" s="1"/>
  <c r="J7" i="11"/>
  <c r="E25" i="11" s="1"/>
  <c r="I136" i="4" l="1"/>
  <c r="G40" i="3"/>
  <c r="I8" i="6"/>
  <c r="H42" i="6"/>
  <c r="H46" i="6" s="1"/>
  <c r="H70" i="6" s="1"/>
  <c r="H36" i="3"/>
  <c r="H40" i="3" s="1"/>
  <c r="K37" i="12" s="1"/>
  <c r="F9" i="7"/>
  <c r="F12" i="7" s="1"/>
  <c r="G25" i="11"/>
  <c r="K19" i="11"/>
  <c r="K43" i="12" l="1"/>
  <c r="K45" i="12" s="1"/>
  <c r="K46" i="12" s="1"/>
  <c r="K41" i="12"/>
  <c r="F16" i="7"/>
  <c r="F32" i="7"/>
  <c r="F33" i="7" s="1"/>
  <c r="I172" i="4"/>
  <c r="J172" i="4" s="1"/>
  <c r="J136" i="4"/>
  <c r="P51" i="5"/>
  <c r="L27" i="3" l="1"/>
  <c r="N27" i="3" s="1"/>
  <c r="R27" i="3"/>
  <c r="T27" i="3" s="1"/>
  <c r="H154" i="4"/>
  <c r="J154" i="4" s="1"/>
  <c r="I46" i="4"/>
  <c r="H123" i="4"/>
  <c r="J123" i="4" s="1"/>
  <c r="H122" i="4"/>
  <c r="H121" i="4"/>
  <c r="J121" i="4" s="1"/>
  <c r="H120" i="4"/>
  <c r="J120" i="4" s="1"/>
  <c r="H119" i="4"/>
  <c r="J119" i="4" s="1"/>
  <c r="H159" i="4"/>
  <c r="J159" i="4" s="1"/>
  <c r="H160" i="4"/>
  <c r="J160" i="4" s="1"/>
  <c r="H161" i="4"/>
  <c r="L43" i="5"/>
  <c r="K43" i="5"/>
  <c r="L38" i="5"/>
  <c r="K38" i="5"/>
  <c r="K27" i="5"/>
  <c r="L27" i="5"/>
  <c r="L20" i="5"/>
  <c r="K11" i="5"/>
  <c r="L11" i="5"/>
  <c r="K20" i="5" l="1"/>
  <c r="J90" i="4"/>
  <c r="H50" i="4"/>
  <c r="J50" i="4" s="1"/>
  <c r="H34" i="4"/>
  <c r="J34" i="4" s="1"/>
  <c r="H18" i="4"/>
  <c r="J18" i="4" s="1"/>
  <c r="H17" i="4"/>
  <c r="J17" i="4" s="1"/>
  <c r="M73" i="6"/>
  <c r="M68" i="6"/>
  <c r="M67" i="6"/>
  <c r="M64" i="6"/>
  <c r="M63" i="6"/>
  <c r="M62" i="6"/>
  <c r="M61" i="6"/>
  <c r="M60" i="6"/>
  <c r="M57" i="6"/>
  <c r="M55" i="6"/>
  <c r="M54" i="6"/>
  <c r="M53" i="6"/>
  <c r="M52" i="6"/>
  <c r="M50" i="6"/>
  <c r="M49" i="6"/>
  <c r="M45" i="6"/>
  <c r="M44" i="6"/>
  <c r="M43" i="6"/>
  <c r="M41" i="6"/>
  <c r="M40" i="6"/>
  <c r="M39" i="6"/>
  <c r="M38" i="6"/>
  <c r="M37" i="6"/>
  <c r="M35" i="6"/>
  <c r="M34" i="6"/>
  <c r="M33" i="6"/>
  <c r="M32" i="6"/>
  <c r="M31" i="6"/>
  <c r="M30" i="6"/>
  <c r="M29" i="6"/>
  <c r="M28" i="6"/>
  <c r="M27" i="6"/>
  <c r="M26" i="6"/>
  <c r="M25" i="6"/>
  <c r="L28" i="3"/>
  <c r="L8" i="3"/>
  <c r="L7" i="3"/>
  <c r="L31" i="3"/>
  <c r="L35" i="3"/>
  <c r="L39" i="3"/>
  <c r="O44" i="1"/>
  <c r="M17" i="1"/>
  <c r="O17" i="1" s="1"/>
  <c r="M16" i="1"/>
  <c r="O16" i="1" s="1"/>
  <c r="M15" i="1"/>
  <c r="O15" i="1" s="1"/>
  <c r="M14" i="1"/>
  <c r="O14" i="1" s="1"/>
  <c r="M13" i="1"/>
  <c r="O13" i="1" s="1"/>
  <c r="M12" i="1"/>
  <c r="O12" i="1" s="1"/>
  <c r="M10" i="1"/>
  <c r="O10" i="1" s="1"/>
  <c r="M9" i="1"/>
  <c r="O9" i="1" s="1"/>
  <c r="M8" i="1"/>
  <c r="O8" i="1" s="1"/>
  <c r="M27" i="1"/>
  <c r="O27" i="1" s="1"/>
  <c r="M26" i="1"/>
  <c r="O26" i="1" s="1"/>
  <c r="M25" i="1"/>
  <c r="M24" i="1"/>
  <c r="O24" i="1" s="1"/>
  <c r="M23" i="1"/>
  <c r="O23" i="1" s="1"/>
  <c r="M32" i="1"/>
  <c r="O32" i="1" s="1"/>
  <c r="M31" i="1"/>
  <c r="M30" i="1"/>
  <c r="O30" i="1" s="1"/>
  <c r="M29" i="1"/>
  <c r="O29" i="1" s="1"/>
  <c r="M39" i="1"/>
  <c r="O39" i="1" s="1"/>
  <c r="M50" i="1"/>
  <c r="O50" i="1" s="1"/>
  <c r="M48" i="1"/>
  <c r="O48" i="1" s="1"/>
  <c r="M47" i="1"/>
  <c r="O47" i="1" s="1"/>
  <c r="M46" i="1"/>
  <c r="O46" i="1" s="1"/>
  <c r="M63" i="1"/>
  <c r="O63" i="1" s="1"/>
  <c r="M62" i="1"/>
  <c r="O62" i="1" s="1"/>
  <c r="M57" i="1"/>
  <c r="O57" i="1" s="1"/>
  <c r="M54" i="1"/>
  <c r="G23" i="7" l="1"/>
  <c r="M6" i="12"/>
  <c r="O54" i="1"/>
  <c r="M58" i="1"/>
  <c r="O58" i="1" s="1"/>
  <c r="M59" i="1"/>
  <c r="O59" i="1" s="1"/>
  <c r="M22" i="12" s="1"/>
  <c r="M61" i="1"/>
  <c r="O61" i="1" s="1"/>
  <c r="M45" i="1"/>
  <c r="O45" i="1" s="1"/>
  <c r="M43" i="1"/>
  <c r="O43" i="1" s="1"/>
  <c r="M42" i="1"/>
  <c r="O42" i="1" s="1"/>
  <c r="M27" i="12" l="1"/>
  <c r="N22" i="12"/>
  <c r="L22" i="12"/>
  <c r="I35" i="6" s="1"/>
  <c r="L6" i="12"/>
  <c r="I64" i="6" s="1"/>
  <c r="I69" i="6" s="1"/>
  <c r="M15" i="12"/>
  <c r="M28" i="12" s="1"/>
  <c r="N6" i="12"/>
  <c r="M64" i="1"/>
  <c r="O64" i="1"/>
  <c r="G31" i="7"/>
  <c r="N74" i="6" l="1"/>
  <c r="O73" i="6"/>
  <c r="N69" i="6"/>
  <c r="L69" i="6"/>
  <c r="K69" i="6"/>
  <c r="O68" i="6"/>
  <c r="O67" i="6"/>
  <c r="O64" i="6"/>
  <c r="O63" i="6"/>
  <c r="O62" i="6"/>
  <c r="L58" i="6"/>
  <c r="K58" i="6"/>
  <c r="O57" i="6"/>
  <c r="O56" i="6"/>
  <c r="O55" i="6"/>
  <c r="O53" i="6"/>
  <c r="O50" i="6"/>
  <c r="O49" i="6"/>
  <c r="O45" i="6"/>
  <c r="O44" i="6"/>
  <c r="O43" i="6"/>
  <c r="O41" i="6"/>
  <c r="O40" i="6"/>
  <c r="O39" i="6"/>
  <c r="O38" i="6"/>
  <c r="O37" i="6"/>
  <c r="O35" i="6"/>
  <c r="O34" i="6"/>
  <c r="O33" i="6"/>
  <c r="O32" i="6"/>
  <c r="O31" i="6"/>
  <c r="O30" i="6"/>
  <c r="O29" i="6"/>
  <c r="O28" i="6"/>
  <c r="O27" i="6"/>
  <c r="O26" i="6"/>
  <c r="O25" i="6"/>
  <c r="L42" i="6"/>
  <c r="L46" i="6" s="1"/>
  <c r="O21" i="6"/>
  <c r="O20" i="6"/>
  <c r="O19" i="6"/>
  <c r="O18" i="6"/>
  <c r="O17" i="6"/>
  <c r="O16" i="6"/>
  <c r="O15" i="6"/>
  <c r="O14" i="6"/>
  <c r="O13" i="6"/>
  <c r="O12" i="6"/>
  <c r="O11" i="6"/>
  <c r="O10" i="6"/>
  <c r="M69" i="6" l="1"/>
  <c r="O61" i="6"/>
  <c r="O69" i="6" s="1"/>
  <c r="L70" i="6"/>
  <c r="M58" i="6"/>
  <c r="N39" i="3"/>
  <c r="N31" i="3"/>
  <c r="N28" i="3"/>
  <c r="N26" i="3"/>
  <c r="N25" i="3"/>
  <c r="N24" i="3"/>
  <c r="N23" i="3"/>
  <c r="N22" i="3"/>
  <c r="N21" i="3"/>
  <c r="N20" i="3"/>
  <c r="N19" i="3"/>
  <c r="N18" i="3"/>
  <c r="N17" i="3"/>
  <c r="N16" i="3"/>
  <c r="N15" i="3"/>
  <c r="N14" i="3"/>
  <c r="N13" i="3"/>
  <c r="N12" i="3"/>
  <c r="N11" i="3"/>
  <c r="K9" i="3"/>
  <c r="K29" i="3" s="1"/>
  <c r="K32" i="3" s="1"/>
  <c r="K36" i="3" s="1"/>
  <c r="J9" i="3"/>
  <c r="J29" i="3" s="1"/>
  <c r="L9" i="3"/>
  <c r="O18" i="1"/>
  <c r="N18" i="1"/>
  <c r="M18" i="1"/>
  <c r="L18" i="1"/>
  <c r="K18" i="1"/>
  <c r="M33" i="1"/>
  <c r="L33" i="1"/>
  <c r="K33" i="1"/>
  <c r="L64" i="1"/>
  <c r="K64" i="1"/>
  <c r="L72" i="6" l="1"/>
  <c r="L74" i="6" s="1"/>
  <c r="F73" i="6" s="1"/>
  <c r="F74" i="6" s="1"/>
  <c r="K40" i="3"/>
  <c r="G130" i="4"/>
  <c r="G167" i="4" s="1"/>
  <c r="G14" i="7"/>
  <c r="J32" i="3"/>
  <c r="L29" i="3"/>
  <c r="L32" i="3" s="1"/>
  <c r="L36" i="3" s="1"/>
  <c r="L40" i="3" s="1"/>
  <c r="N65" i="1"/>
  <c r="O65" i="1"/>
  <c r="M34" i="1"/>
  <c r="M65" i="1"/>
  <c r="L65" i="1"/>
  <c r="L34" i="1"/>
  <c r="K65" i="1"/>
  <c r="K34" i="1"/>
  <c r="H156" i="4"/>
  <c r="J156" i="4" s="1"/>
  <c r="J36" i="3" l="1"/>
  <c r="K8" i="6"/>
  <c r="F91" i="4"/>
  <c r="G157" i="4"/>
  <c r="H157" i="4" s="1"/>
  <c r="G152" i="4"/>
  <c r="F152" i="4"/>
  <c r="G144" i="4"/>
  <c r="I144" i="4"/>
  <c r="F144" i="4"/>
  <c r="E5" i="9"/>
  <c r="E4" i="9"/>
  <c r="E3" i="9"/>
  <c r="F93" i="4" l="1"/>
  <c r="F95" i="4" s="1"/>
  <c r="K23" i="6"/>
  <c r="K42" i="6" s="1"/>
  <c r="K46" i="6" s="1"/>
  <c r="K70" i="6" s="1"/>
  <c r="K72" i="6" s="1"/>
  <c r="M8" i="6"/>
  <c r="J40" i="3"/>
  <c r="F130" i="4"/>
  <c r="F167" i="4" s="1"/>
  <c r="S31" i="1"/>
  <c r="O34" i="5"/>
  <c r="M33" i="5" s="1"/>
  <c r="S34" i="5"/>
  <c r="G18" i="8"/>
  <c r="M23" i="6" l="1"/>
  <c r="M42" i="6" s="1"/>
  <c r="M46" i="6" s="1"/>
  <c r="M70" i="6" s="1"/>
  <c r="M71" i="6" s="1"/>
  <c r="M72" i="6"/>
  <c r="K74" i="6"/>
  <c r="E73" i="6" s="1"/>
  <c r="H130" i="4"/>
  <c r="H167" i="4" s="1"/>
  <c r="K9" i="11"/>
  <c r="G73" i="6" l="1"/>
  <c r="E74" i="6"/>
  <c r="M74" i="6"/>
  <c r="O72" i="6"/>
  <c r="O74" i="6" s="1"/>
  <c r="H24" i="11"/>
  <c r="G7" i="8"/>
  <c r="G8" i="8"/>
  <c r="G9" i="8"/>
  <c r="G10" i="8"/>
  <c r="G11" i="8"/>
  <c r="G12" i="8"/>
  <c r="G13" i="8"/>
  <c r="G14" i="8"/>
  <c r="G15" i="8"/>
  <c r="G16" i="8"/>
  <c r="G17" i="8"/>
  <c r="E21" i="8"/>
  <c r="F21" i="8"/>
  <c r="G21" i="8"/>
  <c r="H21" i="8"/>
  <c r="I21" i="8"/>
  <c r="J21" i="8"/>
  <c r="K21" i="8"/>
  <c r="L21" i="8"/>
  <c r="M21" i="8"/>
  <c r="N21" i="8"/>
  <c r="D21" i="8"/>
  <c r="I18" i="8"/>
  <c r="H18" i="8"/>
  <c r="J18" i="8" s="1"/>
  <c r="M40" i="5" s="1"/>
  <c r="G74" i="6" l="1"/>
  <c r="K48" i="5"/>
  <c r="N41" i="5"/>
  <c r="K8" i="11" s="1"/>
  <c r="O21" i="8"/>
  <c r="G6" i="8" s="1"/>
  <c r="S59" i="1"/>
  <c r="U59" i="1" s="1"/>
  <c r="S57" i="1"/>
  <c r="U57" i="1" s="1"/>
  <c r="R33" i="1"/>
  <c r="F24" i="11" l="1"/>
  <c r="F28" i="11" s="1"/>
  <c r="K11" i="11"/>
  <c r="T58" i="1"/>
  <c r="U40" i="3"/>
  <c r="T26" i="3"/>
  <c r="R11" i="3"/>
  <c r="T11" i="3" s="1"/>
  <c r="R8" i="3"/>
  <c r="R7" i="3"/>
  <c r="M43" i="5"/>
  <c r="N43" i="5"/>
  <c r="H117" i="4"/>
  <c r="H116" i="4"/>
  <c r="J116" i="4" s="1"/>
  <c r="H115" i="4"/>
  <c r="H111" i="4"/>
  <c r="H151" i="4"/>
  <c r="H109" i="4"/>
  <c r="J109" i="4" s="1"/>
  <c r="H108" i="4"/>
  <c r="J108" i="4" s="1"/>
  <c r="H105" i="4"/>
  <c r="H144" i="4" s="1"/>
  <c r="H102" i="4"/>
  <c r="H107" i="4"/>
  <c r="J107" i="4" s="1"/>
  <c r="H101" i="4"/>
  <c r="J101" i="4" s="1"/>
  <c r="H104" i="4"/>
  <c r="G100" i="4"/>
  <c r="G103" i="4" s="1"/>
  <c r="G24" i="11" l="1"/>
  <c r="I24" i="11" s="1"/>
  <c r="J151" i="4"/>
  <c r="J105" i="4"/>
  <c r="J144" i="4" s="1"/>
  <c r="J104" i="4"/>
  <c r="G106" i="4"/>
  <c r="T51" i="1"/>
  <c r="R9" i="3"/>
  <c r="U20" i="1"/>
  <c r="S17" i="6"/>
  <c r="U17" i="6" s="1"/>
  <c r="S11" i="6"/>
  <c r="U11" i="6" s="1"/>
  <c r="S12" i="6"/>
  <c r="U12" i="6" s="1"/>
  <c r="S13" i="6"/>
  <c r="U13" i="6" s="1"/>
  <c r="J88" i="4"/>
  <c r="H47" i="4"/>
  <c r="J47" i="4" s="1"/>
  <c r="I49" i="4"/>
  <c r="H15" i="4"/>
  <c r="J15" i="4" s="1"/>
  <c r="I16" i="4"/>
  <c r="B110" i="4"/>
  <c r="N38" i="5"/>
  <c r="N20" i="5"/>
  <c r="M11" i="5"/>
  <c r="S50" i="1"/>
  <c r="U50" i="1" s="1"/>
  <c r="S48" i="1"/>
  <c r="U48" i="1" s="1"/>
  <c r="S47" i="1"/>
  <c r="U47" i="1" s="1"/>
  <c r="S46" i="1"/>
  <c r="U46" i="1" s="1"/>
  <c r="S45" i="1"/>
  <c r="U45" i="1" s="1"/>
  <c r="S44" i="1"/>
  <c r="U44" i="1" s="1"/>
  <c r="S43" i="1"/>
  <c r="U43" i="1" s="1"/>
  <c r="S42" i="1"/>
  <c r="U42" i="1" s="1"/>
  <c r="S39" i="1"/>
  <c r="U39" i="1" s="1"/>
  <c r="H23" i="7" s="1"/>
  <c r="N11" i="5" l="1"/>
  <c r="H31" i="7"/>
  <c r="G25" i="7"/>
  <c r="U51" i="1"/>
  <c r="M17" i="5"/>
  <c r="Q58" i="6"/>
  <c r="Q64" i="1"/>
  <c r="Q51" i="1"/>
  <c r="Q33" i="1"/>
  <c r="S32" i="1"/>
  <c r="U32" i="1" s="1"/>
  <c r="S24" i="1"/>
  <c r="U24" i="1" s="1"/>
  <c r="S25" i="1"/>
  <c r="S26" i="1"/>
  <c r="U26" i="1" s="1"/>
  <c r="S27" i="1"/>
  <c r="U27" i="1" s="1"/>
  <c r="S28" i="1"/>
  <c r="U28" i="1" s="1"/>
  <c r="S29" i="1"/>
  <c r="U29" i="1" s="1"/>
  <c r="S30" i="1"/>
  <c r="U30" i="1" s="1"/>
  <c r="S23" i="1"/>
  <c r="S9" i="1"/>
  <c r="U9" i="1" s="1"/>
  <c r="S10" i="1"/>
  <c r="U10" i="1" s="1"/>
  <c r="S11" i="1"/>
  <c r="S12" i="1"/>
  <c r="U12" i="1" s="1"/>
  <c r="S13" i="1"/>
  <c r="U13" i="1" s="1"/>
  <c r="S14" i="1"/>
  <c r="U14" i="1" s="1"/>
  <c r="S15" i="1"/>
  <c r="U15" i="1" s="1"/>
  <c r="S16" i="1"/>
  <c r="S17" i="1"/>
  <c r="U17" i="1" s="1"/>
  <c r="S8" i="1"/>
  <c r="U8" i="1" s="1"/>
  <c r="Q18" i="1"/>
  <c r="R51" i="1"/>
  <c r="G112" i="4"/>
  <c r="H85" i="4"/>
  <c r="J85" i="4" s="1"/>
  <c r="H84" i="4"/>
  <c r="G87" i="4"/>
  <c r="O8" i="5"/>
  <c r="R74" i="6"/>
  <c r="R23" i="6"/>
  <c r="P9" i="3"/>
  <c r="Q9" i="3"/>
  <c r="R12" i="3"/>
  <c r="T12" i="3" s="1"/>
  <c r="R13" i="3"/>
  <c r="T13" i="3" s="1"/>
  <c r="R14" i="3"/>
  <c r="T14" i="3" s="1"/>
  <c r="R15" i="3"/>
  <c r="T15" i="3" s="1"/>
  <c r="R16" i="3"/>
  <c r="T16" i="3" s="1"/>
  <c r="R17" i="3"/>
  <c r="T17" i="3" s="1"/>
  <c r="R18" i="3"/>
  <c r="T18" i="3" s="1"/>
  <c r="R19" i="3"/>
  <c r="T19" i="3" s="1"/>
  <c r="R20" i="3"/>
  <c r="T20" i="3" s="1"/>
  <c r="R21" i="3"/>
  <c r="T21" i="3" s="1"/>
  <c r="R22" i="3"/>
  <c r="T22" i="3" s="1"/>
  <c r="R23" i="3"/>
  <c r="T23" i="3" s="1"/>
  <c r="S25" i="3"/>
  <c r="R28" i="3"/>
  <c r="R31" i="3"/>
  <c r="R35" i="3"/>
  <c r="R39" i="3"/>
  <c r="R18" i="1"/>
  <c r="R34" i="1" s="1"/>
  <c r="G114" i="4" l="1"/>
  <c r="P29" i="3"/>
  <c r="P32" i="3" s="1"/>
  <c r="Q65" i="1"/>
  <c r="Q29" i="3"/>
  <c r="Q32" i="3" s="1"/>
  <c r="G89" i="4"/>
  <c r="S18" i="1"/>
  <c r="S33" i="1"/>
  <c r="U23" i="1"/>
  <c r="S51" i="1"/>
  <c r="Q34" i="1"/>
  <c r="S34" i="1" s="1"/>
  <c r="R24" i="3"/>
  <c r="T24" i="3" s="1"/>
  <c r="G91" i="4" l="1"/>
  <c r="H89" i="4"/>
  <c r="G118" i="4"/>
  <c r="M70" i="5"/>
  <c r="M20" i="5"/>
  <c r="P36" i="3"/>
  <c r="P40" i="3" s="1"/>
  <c r="R25" i="3"/>
  <c r="Q36" i="3"/>
  <c r="Q40" i="3" s="1"/>
  <c r="G93" i="4" l="1"/>
  <c r="H91" i="4"/>
  <c r="G124" i="4"/>
  <c r="G131" i="4" s="1"/>
  <c r="G137" i="4" s="1"/>
  <c r="T25" i="3"/>
  <c r="R29" i="3"/>
  <c r="S55" i="5"/>
  <c r="R55" i="5"/>
  <c r="P53" i="5"/>
  <c r="N53" i="5" s="1"/>
  <c r="S24" i="5"/>
  <c r="P24" i="5"/>
  <c r="S8" i="5"/>
  <c r="G138" i="4" l="1"/>
  <c r="H93" i="4"/>
  <c r="H95" i="4" s="1"/>
  <c r="G95" i="4"/>
  <c r="L53" i="5"/>
  <c r="M45" i="5"/>
  <c r="O70" i="5"/>
  <c r="M38" i="5"/>
  <c r="T16" i="1"/>
  <c r="R32" i="3"/>
  <c r="R36" i="3" s="1"/>
  <c r="R40" i="3" s="1"/>
  <c r="T74" i="6"/>
  <c r="U73" i="6"/>
  <c r="T69" i="6"/>
  <c r="S68" i="6"/>
  <c r="U68" i="6" s="1"/>
  <c r="U64" i="6"/>
  <c r="U63" i="6"/>
  <c r="S62" i="6"/>
  <c r="U62" i="6" s="1"/>
  <c r="S61" i="6"/>
  <c r="U61" i="6" s="1"/>
  <c r="T58" i="6"/>
  <c r="U57" i="6"/>
  <c r="U56" i="6"/>
  <c r="U55" i="6"/>
  <c r="U54" i="6"/>
  <c r="U53" i="6"/>
  <c r="U50" i="6"/>
  <c r="U49" i="6"/>
  <c r="U45" i="6"/>
  <c r="U44" i="6"/>
  <c r="U43" i="6"/>
  <c r="U41" i="6"/>
  <c r="U40" i="6"/>
  <c r="U39" i="6"/>
  <c r="U38" i="6"/>
  <c r="U37" i="6"/>
  <c r="U35" i="6"/>
  <c r="U34" i="6"/>
  <c r="U33" i="6"/>
  <c r="U32" i="6"/>
  <c r="U31" i="6"/>
  <c r="U30" i="6"/>
  <c r="U29" i="6"/>
  <c r="U28" i="6"/>
  <c r="U27" i="6"/>
  <c r="U26" i="6"/>
  <c r="U25" i="6"/>
  <c r="S21" i="6"/>
  <c r="U21" i="6" s="1"/>
  <c r="S20" i="6"/>
  <c r="U20" i="6" s="1"/>
  <c r="S19" i="6"/>
  <c r="U19" i="6" s="1"/>
  <c r="S18" i="6"/>
  <c r="U18" i="6" s="1"/>
  <c r="S16" i="6"/>
  <c r="U16" i="6" s="1"/>
  <c r="H11" i="7" s="1"/>
  <c r="S15" i="6"/>
  <c r="U15" i="6" s="1"/>
  <c r="S14" i="6"/>
  <c r="U14" i="6" s="1"/>
  <c r="S10" i="6"/>
  <c r="U10" i="6" s="1"/>
  <c r="S8" i="6"/>
  <c r="T64" i="1"/>
  <c r="T65" i="1" s="1"/>
  <c r="T39" i="3"/>
  <c r="T31" i="3"/>
  <c r="T28" i="3"/>
  <c r="S63" i="1"/>
  <c r="U63" i="1" s="1"/>
  <c r="S62" i="1"/>
  <c r="U62" i="1" s="1"/>
  <c r="S61" i="1"/>
  <c r="U61" i="1" s="1"/>
  <c r="S58" i="1"/>
  <c r="U58" i="1" s="1"/>
  <c r="S54" i="1"/>
  <c r="U54" i="1" s="1"/>
  <c r="K45" i="5" l="1"/>
  <c r="I45" i="5" s="1"/>
  <c r="T25" i="1"/>
  <c r="M69" i="5"/>
  <c r="E23" i="11"/>
  <c r="U67" i="6"/>
  <c r="U69" i="6" s="1"/>
  <c r="H25" i="7"/>
  <c r="U64" i="1"/>
  <c r="U65" i="1" s="1"/>
  <c r="T18" i="1"/>
  <c r="U16" i="1"/>
  <c r="U18" i="1" s="1"/>
  <c r="N27" i="5"/>
  <c r="H14" i="7"/>
  <c r="N55" i="5"/>
  <c r="S23" i="6"/>
  <c r="S42" i="6" s="1"/>
  <c r="S46" i="6" s="1"/>
  <c r="S69" i="6"/>
  <c r="K25" i="7"/>
  <c r="U58" i="6"/>
  <c r="S58" i="6"/>
  <c r="H10" i="4"/>
  <c r="J10" i="4" s="1"/>
  <c r="H11" i="4"/>
  <c r="J11" i="4" s="1"/>
  <c r="H12" i="4"/>
  <c r="J12" i="4" s="1"/>
  <c r="H13" i="4"/>
  <c r="J13" i="4" s="1"/>
  <c r="H27" i="4"/>
  <c r="J27" i="4" s="1"/>
  <c r="H28" i="4"/>
  <c r="J28" i="4" s="1"/>
  <c r="H30" i="4"/>
  <c r="J30" i="4" s="1"/>
  <c r="H31" i="4"/>
  <c r="J31" i="4" s="1"/>
  <c r="H41" i="4"/>
  <c r="J41" i="4" s="1"/>
  <c r="H42" i="4"/>
  <c r="J42" i="4" s="1"/>
  <c r="H44" i="4"/>
  <c r="J44" i="4" s="1"/>
  <c r="H57" i="4"/>
  <c r="H58" i="4"/>
  <c r="J58" i="4" s="1"/>
  <c r="H65" i="4"/>
  <c r="H66" i="4"/>
  <c r="H67" i="4"/>
  <c r="J67" i="4" s="1"/>
  <c r="H74" i="4"/>
  <c r="H75" i="4"/>
  <c r="J75" i="4" s="1"/>
  <c r="H81" i="4"/>
  <c r="H82" i="4"/>
  <c r="H86" i="4"/>
  <c r="H97" i="4"/>
  <c r="H98" i="4"/>
  <c r="H99" i="4"/>
  <c r="J115" i="4"/>
  <c r="H147" i="4"/>
  <c r="J147" i="4" s="1"/>
  <c r="H148" i="4"/>
  <c r="J148" i="4" s="1"/>
  <c r="H149" i="4"/>
  <c r="J149" i="4" s="1"/>
  <c r="H150" i="4"/>
  <c r="J150" i="4" s="1"/>
  <c r="H8" i="4"/>
  <c r="J8" i="4" s="1"/>
  <c r="G140" i="4"/>
  <c r="G143" i="4" s="1"/>
  <c r="G145" i="4" s="1"/>
  <c r="G153" i="4" s="1"/>
  <c r="H87" i="4"/>
  <c r="G76" i="4"/>
  <c r="G68" i="4"/>
  <c r="G59" i="4"/>
  <c r="G60" i="4" s="1"/>
  <c r="G61" i="4" s="1"/>
  <c r="G62" i="4" s="1"/>
  <c r="G63" i="4" s="1"/>
  <c r="H63" i="4" s="1"/>
  <c r="J63" i="4" s="1"/>
  <c r="G43" i="4"/>
  <c r="G45" i="4" s="1"/>
  <c r="G9" i="4"/>
  <c r="G14" i="4" s="1"/>
  <c r="F146" i="4"/>
  <c r="B146" i="4"/>
  <c r="F142" i="4"/>
  <c r="F140" i="4"/>
  <c r="F110" i="4"/>
  <c r="H110" i="4" s="1"/>
  <c r="J110" i="4" s="1"/>
  <c r="F100" i="4"/>
  <c r="F103" i="4" s="1"/>
  <c r="F76" i="4"/>
  <c r="F68" i="4"/>
  <c r="F59" i="4"/>
  <c r="F60" i="4" s="1"/>
  <c r="F61" i="4" s="1"/>
  <c r="F62" i="4" s="1"/>
  <c r="F63" i="4" s="1"/>
  <c r="F43" i="4"/>
  <c r="F45" i="4" s="1"/>
  <c r="F29" i="4"/>
  <c r="F32" i="4" s="1"/>
  <c r="R69" i="6"/>
  <c r="R58" i="6"/>
  <c r="R42" i="6"/>
  <c r="R46" i="6" s="1"/>
  <c r="Q69" i="6"/>
  <c r="Q46" i="6"/>
  <c r="K62" i="5" l="1"/>
  <c r="I46" i="5" s="1"/>
  <c r="U25" i="1"/>
  <c r="H62" i="4"/>
  <c r="G16" i="4"/>
  <c r="G19" i="4" s="1"/>
  <c r="G23" i="11"/>
  <c r="L55" i="5"/>
  <c r="G46" i="4"/>
  <c r="G49" i="4" s="1"/>
  <c r="G51" i="4" s="1"/>
  <c r="F49" i="4"/>
  <c r="F46" i="4"/>
  <c r="G155" i="4"/>
  <c r="G158" i="4" s="1"/>
  <c r="G162" i="4" s="1"/>
  <c r="G168" i="4" s="1"/>
  <c r="G173" i="4" s="1"/>
  <c r="G174" i="4" s="1"/>
  <c r="H61" i="4"/>
  <c r="J61" i="4" s="1"/>
  <c r="Q70" i="6"/>
  <c r="Q72" i="6" s="1"/>
  <c r="N67" i="5"/>
  <c r="J86" i="4"/>
  <c r="H152" i="4"/>
  <c r="H32" i="4"/>
  <c r="J32" i="4" s="1"/>
  <c r="F33" i="4"/>
  <c r="H142" i="4"/>
  <c r="F77" i="4"/>
  <c r="F78" i="4" s="1"/>
  <c r="F79" i="4" s="1"/>
  <c r="F80" i="4" s="1"/>
  <c r="G77" i="4"/>
  <c r="F69" i="4"/>
  <c r="F70" i="4" s="1"/>
  <c r="F106" i="4"/>
  <c r="G69" i="4"/>
  <c r="G70" i="4" s="1"/>
  <c r="M27" i="5"/>
  <c r="M71" i="5"/>
  <c r="I100" i="4"/>
  <c r="J99" i="4"/>
  <c r="H100" i="4"/>
  <c r="H103" i="4" s="1"/>
  <c r="F114" i="4"/>
  <c r="F118" i="4" s="1"/>
  <c r="H118" i="4" s="1"/>
  <c r="M55" i="5"/>
  <c r="J87" i="4"/>
  <c r="S70" i="6"/>
  <c r="R70" i="6"/>
  <c r="H140" i="4"/>
  <c r="J140" i="4" s="1"/>
  <c r="H60" i="4"/>
  <c r="J60" i="4" s="1"/>
  <c r="H45" i="4"/>
  <c r="H46" i="4" s="1"/>
  <c r="H49" i="4" s="1"/>
  <c r="H146" i="4"/>
  <c r="J146" i="4" s="1"/>
  <c r="H76" i="4"/>
  <c r="H68" i="4"/>
  <c r="H59" i="4"/>
  <c r="J59" i="4" s="1"/>
  <c r="H43" i="4"/>
  <c r="J43" i="4" s="1"/>
  <c r="H29" i="4"/>
  <c r="J29" i="4" s="1"/>
  <c r="R64" i="1"/>
  <c r="R65" i="1" s="1"/>
  <c r="S38" i="5"/>
  <c r="R38" i="5"/>
  <c r="P38" i="5"/>
  <c r="O38" i="5"/>
  <c r="S27" i="5"/>
  <c r="R27" i="5"/>
  <c r="P27" i="5"/>
  <c r="O27" i="5"/>
  <c r="S20" i="5"/>
  <c r="O20" i="5"/>
  <c r="P20" i="5"/>
  <c r="R69" i="5"/>
  <c r="R11" i="5"/>
  <c r="P11" i="5"/>
  <c r="O11" i="5"/>
  <c r="J62" i="4" l="1"/>
  <c r="J53" i="5"/>
  <c r="H53" i="5" s="1"/>
  <c r="H25" i="1" s="1"/>
  <c r="I25" i="1" s="1"/>
  <c r="I55" i="5"/>
  <c r="F71" i="4"/>
  <c r="F72" i="4" s="1"/>
  <c r="Q70" i="1"/>
  <c r="F53" i="4"/>
  <c r="R68" i="1"/>
  <c r="G21" i="4"/>
  <c r="L63" i="5"/>
  <c r="S35" i="3" s="1"/>
  <c r="T35" i="3" s="1"/>
  <c r="T31" i="1"/>
  <c r="G53" i="4"/>
  <c r="R70" i="1"/>
  <c r="G71" i="4"/>
  <c r="G72" i="4" s="1"/>
  <c r="S72" i="6"/>
  <c r="Q74" i="6"/>
  <c r="I23" i="11"/>
  <c r="I112" i="4"/>
  <c r="K55" i="5"/>
  <c r="K67" i="5" s="1"/>
  <c r="H77" i="4"/>
  <c r="J77" i="4" s="1"/>
  <c r="J89" i="4"/>
  <c r="J93" i="4"/>
  <c r="J95" i="4" s="1"/>
  <c r="G78" i="4"/>
  <c r="R71" i="1" s="1"/>
  <c r="H70" i="4"/>
  <c r="J70" i="4" s="1"/>
  <c r="H69" i="4"/>
  <c r="J69" i="4" s="1"/>
  <c r="H33" i="4"/>
  <c r="J33" i="4" s="1"/>
  <c r="F35" i="4"/>
  <c r="M67" i="5"/>
  <c r="J142" i="4"/>
  <c r="J76" i="4"/>
  <c r="J68" i="4"/>
  <c r="S9" i="3"/>
  <c r="S29" i="3" s="1"/>
  <c r="S32" i="3" s="1"/>
  <c r="T8" i="6" s="1"/>
  <c r="T7" i="3"/>
  <c r="J98" i="4"/>
  <c r="J100" i="4" s="1"/>
  <c r="F124" i="4"/>
  <c r="F131" i="4" s="1"/>
  <c r="F137" i="4" s="1"/>
  <c r="J45" i="4"/>
  <c r="H51" i="4"/>
  <c r="H53" i="4" s="1"/>
  <c r="R20" i="5"/>
  <c r="R67" i="5" s="1"/>
  <c r="S11" i="5"/>
  <c r="S67" i="5" s="1"/>
  <c r="F9" i="4"/>
  <c r="F138" i="4" l="1"/>
  <c r="E71" i="1" s="1"/>
  <c r="D71" i="1" s="1"/>
  <c r="H72" i="4"/>
  <c r="J72" i="4" s="1"/>
  <c r="G55" i="4"/>
  <c r="F55" i="4"/>
  <c r="F64" i="4" s="1"/>
  <c r="E70" i="1" s="1"/>
  <c r="H55" i="4"/>
  <c r="H64" i="4" s="1"/>
  <c r="H55" i="5"/>
  <c r="H67" i="5" s="1"/>
  <c r="H131" i="4"/>
  <c r="H137" i="4" s="1"/>
  <c r="H71" i="4"/>
  <c r="J71" i="4" s="1"/>
  <c r="R72" i="1"/>
  <c r="R73" i="1" s="1"/>
  <c r="R74" i="1" s="1"/>
  <c r="S70" i="1"/>
  <c r="U70" i="1" s="1"/>
  <c r="J55" i="5"/>
  <c r="Q71" i="1"/>
  <c r="S71" i="1" s="1"/>
  <c r="Q69" i="1"/>
  <c r="S69" i="1" s="1"/>
  <c r="U69" i="1" s="1"/>
  <c r="F36" i="4"/>
  <c r="M69" i="1" s="1"/>
  <c r="O69" i="1" s="1"/>
  <c r="U31" i="1"/>
  <c r="U33" i="1" s="1"/>
  <c r="U34" i="1" s="1"/>
  <c r="T33" i="1"/>
  <c r="T34" i="1" s="1"/>
  <c r="G79" i="4"/>
  <c r="U72" i="6"/>
  <c r="U74" i="6" s="1"/>
  <c r="S74" i="6"/>
  <c r="J9" i="11"/>
  <c r="L67" i="5"/>
  <c r="I153" i="4"/>
  <c r="I114" i="4"/>
  <c r="I118" i="4" s="1"/>
  <c r="J46" i="4"/>
  <c r="J49" i="4" s="1"/>
  <c r="J51" i="4" s="1"/>
  <c r="J53" i="4" s="1"/>
  <c r="H78" i="4"/>
  <c r="H124" i="4"/>
  <c r="J91" i="4"/>
  <c r="H35" i="4"/>
  <c r="F19" i="4"/>
  <c r="F143" i="4"/>
  <c r="F145" i="4" s="1"/>
  <c r="F153" i="4" s="1"/>
  <c r="S36" i="3"/>
  <c r="S40" i="3" s="1"/>
  <c r="I122" i="4" s="1"/>
  <c r="P50" i="5"/>
  <c r="O45" i="5" s="1"/>
  <c r="R71" i="5"/>
  <c r="T8" i="3"/>
  <c r="T9" i="3" s="1"/>
  <c r="T29" i="3" s="1"/>
  <c r="H9" i="4"/>
  <c r="J9" i="4" s="1"/>
  <c r="D70" i="1" l="1"/>
  <c r="G70" i="1"/>
  <c r="I70" i="1" s="1"/>
  <c r="E72" i="1"/>
  <c r="E73" i="1" s="1"/>
  <c r="E74" i="1" s="1"/>
  <c r="M70" i="1"/>
  <c r="O70" i="1" s="1"/>
  <c r="H138" i="4"/>
  <c r="G71" i="1"/>
  <c r="M71" i="1"/>
  <c r="G80" i="4"/>
  <c r="J55" i="4"/>
  <c r="J64" i="4" s="1"/>
  <c r="J35" i="4"/>
  <c r="J36" i="4" s="1"/>
  <c r="J38" i="4" s="1"/>
  <c r="H36" i="4"/>
  <c r="H38" i="4" s="1"/>
  <c r="H153" i="4"/>
  <c r="H155" i="4" s="1"/>
  <c r="H158" i="4" s="1"/>
  <c r="F155" i="4"/>
  <c r="F158" i="4" s="1"/>
  <c r="F162" i="4" s="1"/>
  <c r="Q68" i="1"/>
  <c r="S68" i="1" s="1"/>
  <c r="U68" i="1" s="1"/>
  <c r="F21" i="4"/>
  <c r="H79" i="4"/>
  <c r="H25" i="11"/>
  <c r="J11" i="11"/>
  <c r="J78" i="4"/>
  <c r="H14" i="4"/>
  <c r="P55" i="5"/>
  <c r="P67" i="5" s="1"/>
  <c r="J117" i="4"/>
  <c r="I157" i="4"/>
  <c r="J157" i="4" s="1"/>
  <c r="H143" i="4"/>
  <c r="H145" i="4" s="1"/>
  <c r="T23" i="6"/>
  <c r="T42" i="6" s="1"/>
  <c r="T46" i="6" s="1"/>
  <c r="T70" i="6" s="1"/>
  <c r="U8" i="6"/>
  <c r="U23" i="6" s="1"/>
  <c r="U42" i="6" s="1"/>
  <c r="U46" i="6" s="1"/>
  <c r="U70" i="6" s="1"/>
  <c r="O55" i="5"/>
  <c r="O67" i="5" s="1"/>
  <c r="T32" i="3"/>
  <c r="T36" i="3" s="1"/>
  <c r="T40" i="3" s="1"/>
  <c r="H106" i="4"/>
  <c r="H112" i="4" s="1"/>
  <c r="H114" i="4" s="1"/>
  <c r="G72" i="1" l="1"/>
  <c r="G73" i="1" s="1"/>
  <c r="G74" i="1" s="1"/>
  <c r="K72" i="1"/>
  <c r="K73" i="1" s="1"/>
  <c r="K74" i="1" s="1"/>
  <c r="J79" i="4"/>
  <c r="J80" i="4" s="1"/>
  <c r="H80" i="4"/>
  <c r="F168" i="4"/>
  <c r="F173" i="4" s="1"/>
  <c r="F174" i="4" s="1"/>
  <c r="K162" i="4"/>
  <c r="J153" i="4"/>
  <c r="L72" i="1"/>
  <c r="L73" i="1" s="1"/>
  <c r="L74" i="1" s="1"/>
  <c r="M68" i="1"/>
  <c r="M72" i="1" s="1"/>
  <c r="M73" i="1" s="1"/>
  <c r="M74" i="1" s="1"/>
  <c r="I25" i="11"/>
  <c r="J122" i="4"/>
  <c r="I161" i="4"/>
  <c r="J161" i="4" s="1"/>
  <c r="J14" i="4"/>
  <c r="J16" i="4" s="1"/>
  <c r="J19" i="4" s="1"/>
  <c r="J21" i="4" s="1"/>
  <c r="H16" i="4"/>
  <c r="H19" i="4" s="1"/>
  <c r="H21" i="4" s="1"/>
  <c r="Q72" i="1"/>
  <c r="S72" i="1" s="1"/>
  <c r="O68" i="1" l="1"/>
  <c r="K20" i="7"/>
  <c r="K27" i="7" s="1"/>
  <c r="H20" i="7"/>
  <c r="H27" i="7" s="1"/>
  <c r="S65" i="1"/>
  <c r="S64" i="1"/>
  <c r="H162" i="4" l="1"/>
  <c r="H168" i="4" s="1"/>
  <c r="H173" i="4" s="1"/>
  <c r="H174" i="4" s="1"/>
  <c r="K12" i="7"/>
  <c r="K33" i="7" s="1"/>
  <c r="H9" i="7"/>
  <c r="H12" i="7" s="1"/>
  <c r="Q73" i="1"/>
  <c r="Q74" i="1" s="1"/>
  <c r="H16" i="7" l="1"/>
  <c r="H32" i="7"/>
  <c r="H33" i="7" s="1"/>
  <c r="K16" i="7"/>
  <c r="O69" i="5"/>
  <c r="S73" i="1"/>
  <c r="S74" i="1" s="1"/>
  <c r="J102" i="4"/>
  <c r="I111" i="4" l="1"/>
  <c r="I152" i="4" s="1"/>
  <c r="I103" i="4"/>
  <c r="O71" i="5"/>
  <c r="J111" i="4" l="1"/>
  <c r="J152" i="4" s="1"/>
  <c r="I143" i="4"/>
  <c r="J103" i="4"/>
  <c r="I106" i="4"/>
  <c r="I124" i="4" l="1"/>
  <c r="T71" i="1" s="1"/>
  <c r="U71" i="1" s="1"/>
  <c r="U72" i="1" s="1"/>
  <c r="U73" i="1" s="1"/>
  <c r="U74" i="1" s="1"/>
  <c r="I145" i="4"/>
  <c r="J143" i="4"/>
  <c r="J145" i="4" s="1"/>
  <c r="J106" i="4"/>
  <c r="J112" i="4" s="1"/>
  <c r="J114" i="4" s="1"/>
  <c r="J118" i="4" s="1"/>
  <c r="I155" i="4" l="1"/>
  <c r="T72" i="1"/>
  <c r="T73" i="1" s="1"/>
  <c r="T74" i="1" s="1"/>
  <c r="J124" i="4"/>
  <c r="I158" i="4" l="1"/>
  <c r="I162" i="4" s="1"/>
  <c r="J155" i="4"/>
  <c r="J158" i="4" l="1"/>
  <c r="J162" i="4"/>
  <c r="I27" i="5" l="1"/>
  <c r="M7" i="3"/>
  <c r="N7" i="3" s="1"/>
  <c r="N25" i="1"/>
  <c r="O25" i="1" s="1"/>
  <c r="I7" i="11"/>
  <c r="E26" i="11" s="1"/>
  <c r="E28" i="11" s="1"/>
  <c r="I62" i="5"/>
  <c r="M8" i="3"/>
  <c r="N54" i="6"/>
  <c r="O54" i="6" s="1"/>
  <c r="O58" i="6" s="1"/>
  <c r="J63" i="5" l="1"/>
  <c r="J66" i="5" s="1"/>
  <c r="I66" i="5"/>
  <c r="M9" i="3"/>
  <c r="M29" i="3" s="1"/>
  <c r="N8" i="3"/>
  <c r="N9" i="3" s="1"/>
  <c r="G26" i="11"/>
  <c r="G28" i="11" s="1"/>
  <c r="I67" i="5"/>
  <c r="J27" i="5"/>
  <c r="N58" i="6"/>
  <c r="J67" i="5" l="1"/>
  <c r="F29" i="11"/>
  <c r="E32" i="11"/>
  <c r="M32" i="3"/>
  <c r="N29" i="3"/>
  <c r="N8" i="6" l="1"/>
  <c r="G46" i="5"/>
  <c r="H31" i="1" s="1"/>
  <c r="N32" i="3"/>
  <c r="G20" i="7"/>
  <c r="G27" i="7" s="1"/>
  <c r="F30" i="11"/>
  <c r="G29" i="11"/>
  <c r="H33" i="1" l="1"/>
  <c r="H34" i="1" s="1"/>
  <c r="I31" i="1"/>
  <c r="G55" i="5"/>
  <c r="J58" i="5"/>
  <c r="M35" i="3" s="1"/>
  <c r="N31" i="1"/>
  <c r="O8" i="6"/>
  <c r="G30" i="11"/>
  <c r="F31" i="11"/>
  <c r="G31" i="11" s="1"/>
  <c r="H29" i="11"/>
  <c r="I29" i="11" s="1"/>
  <c r="G9" i="7"/>
  <c r="G12" i="7" s="1"/>
  <c r="I33" i="1" l="1"/>
  <c r="I34" i="1" s="1"/>
  <c r="B27" i="12"/>
  <c r="B28" i="12" s="1"/>
  <c r="B32" i="12" s="1"/>
  <c r="G67" i="5"/>
  <c r="T55" i="5"/>
  <c r="F32" i="11"/>
  <c r="G32" i="7"/>
  <c r="G33" i="7" s="1"/>
  <c r="G16" i="7"/>
  <c r="H31" i="11"/>
  <c r="I31" i="11" s="1"/>
  <c r="N33" i="1"/>
  <c r="N34" i="1" s="1"/>
  <c r="O31" i="1"/>
  <c r="H30" i="11"/>
  <c r="I30" i="11" s="1"/>
  <c r="G32" i="11"/>
  <c r="N35" i="3"/>
  <c r="N36" i="3" s="1"/>
  <c r="N40" i="3" s="1"/>
  <c r="I9" i="11"/>
  <c r="N22" i="6"/>
  <c r="M36" i="3"/>
  <c r="O33" i="1" l="1"/>
  <c r="O34" i="1" s="1"/>
  <c r="D27" i="12"/>
  <c r="O22" i="6"/>
  <c r="O23" i="6" s="1"/>
  <c r="O42" i="6" s="1"/>
  <c r="O46" i="6" s="1"/>
  <c r="O70" i="6" s="1"/>
  <c r="N23" i="6"/>
  <c r="N42" i="6" s="1"/>
  <c r="N46" i="6" s="1"/>
  <c r="H26" i="11"/>
  <c r="H28" i="11" s="1"/>
  <c r="I11" i="11"/>
  <c r="M40" i="3"/>
  <c r="I130" i="4"/>
  <c r="E25" i="12" l="1"/>
  <c r="C27" i="12"/>
  <c r="B86" i="12" s="1"/>
  <c r="D28" i="12"/>
  <c r="D32" i="12" s="1"/>
  <c r="I131" i="4"/>
  <c r="I167" i="4"/>
  <c r="I168" i="4" s="1"/>
  <c r="I173" i="4" s="1"/>
  <c r="H71" i="1" s="1"/>
  <c r="I71" i="1" s="1"/>
  <c r="J130" i="4"/>
  <c r="J167" i="4" s="1"/>
  <c r="J168" i="4" s="1"/>
  <c r="J173" i="4" s="1"/>
  <c r="H32" i="11"/>
  <c r="I26" i="11"/>
  <c r="B87" i="12" l="1"/>
  <c r="B88" i="12" s="1"/>
  <c r="I20" i="6"/>
  <c r="I23" i="6" s="1"/>
  <c r="I137" i="4"/>
  <c r="I174" i="4" s="1"/>
  <c r="N71" i="1"/>
  <c r="O71" i="1" s="1"/>
  <c r="I28" i="11"/>
  <c r="I32" i="11" s="1"/>
  <c r="J131" i="4"/>
  <c r="J137" i="4" s="1"/>
  <c r="J174" i="4" s="1"/>
  <c r="I138" i="4" l="1"/>
  <c r="I42" i="6"/>
  <c r="I46" i="6" s="1"/>
  <c r="I70" i="6" s="1"/>
  <c r="I72" i="6" s="1"/>
  <c r="I74" i="6" s="1"/>
  <c r="I75" i="6" s="1"/>
  <c r="J138" i="4"/>
  <c r="H72" i="1"/>
  <c r="H73" i="1" s="1"/>
  <c r="H74" i="1" s="1"/>
  <c r="I72" i="1"/>
  <c r="K138" i="4"/>
  <c r="I73" i="1" l="1"/>
  <c r="I74" i="1" s="1"/>
  <c r="K30" i="12"/>
  <c r="N72" i="1"/>
  <c r="N73" i="1" s="1"/>
  <c r="N74" i="1" s="1"/>
  <c r="O72" i="1"/>
  <c r="K32" i="12" l="1"/>
  <c r="K34" i="12" s="1"/>
  <c r="O73" i="1"/>
  <c r="O74" i="1" s="1"/>
  <c r="M30" i="12"/>
  <c r="L30" i="12" s="1"/>
  <c r="K42" i="12" s="1"/>
  <c r="N30" i="12" l="1"/>
  <c r="M32" i="12"/>
  <c r="M34" i="12" s="1"/>
</calcChain>
</file>

<file path=xl/sharedStrings.xml><?xml version="1.0" encoding="utf-8"?>
<sst xmlns="http://schemas.openxmlformats.org/spreadsheetml/2006/main" count="715" uniqueCount="443">
  <si>
    <t>TELCONET Y COMPAÑÍA RELACIONADA</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</si>
  <si>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</si>
  <si>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</si>
  <si>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</si>
  <si>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</si>
  <si>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</si>
  <si>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</si>
  <si>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</si>
  <si>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</si>
  <si>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</si>
  <si>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</si>
  <si>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</si>
  <si>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</si>
  <si>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Total Activos Corrientes</t>
  </si>
  <si>
    <t>Telconet</t>
  </si>
  <si>
    <t>Megadatos</t>
  </si>
  <si>
    <t>Suman</t>
  </si>
  <si>
    <t>(Expresado en dolares estadounidenses)</t>
  </si>
  <si>
    <t>Activos no Corrientes:</t>
  </si>
  <si>
    <t>Otras cuentas por cobrar</t>
  </si>
  <si>
    <t>Propiedades y equipos</t>
  </si>
  <si>
    <t>Propiedades de inversion</t>
  </si>
  <si>
    <t>Activos intangibles</t>
  </si>
  <si>
    <t>Inversiones en subsidiarias y asociadas</t>
  </si>
  <si>
    <t>Total Activos no Corrientes</t>
  </si>
  <si>
    <t xml:space="preserve">TOTAL ACTIVOS  </t>
  </si>
  <si>
    <t>PASIVOS Y PATRIMONIO</t>
  </si>
  <si>
    <t>Pasivos Corrientes:</t>
  </si>
  <si>
    <t>Prestamos y obligaciones financieras</t>
  </si>
  <si>
    <t>Cuentas por pagar:</t>
  </si>
  <si>
    <t>…Proveedores</t>
  </si>
  <si>
    <t>…Impuesto a la renta por pagar</t>
  </si>
  <si>
    <t>…Impuestos por pagar</t>
  </si>
  <si>
    <t>…Otras cuentas por pagar</t>
  </si>
  <si>
    <t>Anticipos de clientes</t>
  </si>
  <si>
    <t>Beneficios sociales</t>
  </si>
  <si>
    <t>Ingresos diferidos</t>
  </si>
  <si>
    <t>Total Pasivos Corrientes</t>
  </si>
  <si>
    <t>Pasivos no Corrientes:</t>
  </si>
  <si>
    <t>Provisiones</t>
  </si>
  <si>
    <t>Total Pasivos no Corrientes</t>
  </si>
  <si>
    <t xml:space="preserve">TOTAL PASIVOS  </t>
  </si>
  <si>
    <t>Patrimonio:</t>
  </si>
  <si>
    <t>Capital</t>
  </si>
  <si>
    <t>Aportes para futuras capitalizaciones</t>
  </si>
  <si>
    <t>Reservas</t>
  </si>
  <si>
    <t>Resultados acumulados</t>
  </si>
  <si>
    <t>Total Patrimonio</t>
  </si>
  <si>
    <t>TOTAL PASIVOS Y PATRIMONIO</t>
  </si>
  <si>
    <t>Otros activos</t>
  </si>
  <si>
    <t>Ajustes de</t>
  </si>
  <si>
    <t>Ingresos por ventas</t>
  </si>
  <si>
    <t>Costo de ventas</t>
  </si>
  <si>
    <t>Utilidad bruta</t>
  </si>
  <si>
    <t>Utilidad operacional</t>
  </si>
  <si>
    <t>Gastos financieros, neto</t>
  </si>
  <si>
    <t>Utilidad antes de impuesto a la renta</t>
  </si>
  <si>
    <t>Utilidad neta y resultado integral del año</t>
  </si>
  <si>
    <t>Otros ingresos operacionales</t>
  </si>
  <si>
    <t>…Remuneraciones  y beneficios a empleados</t>
  </si>
  <si>
    <t>…Depreciaciones y amortizaciones</t>
  </si>
  <si>
    <t>…15% participacion a trabajadores</t>
  </si>
  <si>
    <t>…Otros impuestos y contribuciones</t>
  </si>
  <si>
    <t>…Honorarios profesionales</t>
  </si>
  <si>
    <t>…Mantenimientos y reparaciones</t>
  </si>
  <si>
    <t>…Servicios de publicidad</t>
  </si>
  <si>
    <t>…Gastos de viaje y gestion</t>
  </si>
  <si>
    <t>…Seguros</t>
  </si>
  <si>
    <t>…Servicios basicos</t>
  </si>
  <si>
    <t>…Suministros de oficina</t>
  </si>
  <si>
    <t>…Otros gastos de administracion y ventas</t>
  </si>
  <si>
    <t>Total gastos de administracion y ventas</t>
  </si>
  <si>
    <t>Activos de grupo enajenable clasificados como mantenidos para la venta</t>
  </si>
  <si>
    <t>CAPITAL SOCIAL</t>
  </si>
  <si>
    <t>Saldos previamente reportados al 1o. de enero 2014</t>
  </si>
  <si>
    <t>Aumento de capital 10/07/2015</t>
  </si>
  <si>
    <t>Aumento de capital 23/09/2015</t>
  </si>
  <si>
    <t xml:space="preserve">Aumento de capital 17/12/2015 </t>
  </si>
  <si>
    <t>APORTES PARA FUTURAS CAPITALIZACIONES</t>
  </si>
  <si>
    <t>DEBITO</t>
  </si>
  <si>
    <t>CREDITO</t>
  </si>
  <si>
    <t>-1-</t>
  </si>
  <si>
    <r>
      <rPr>
        <u/>
        <sz val="11"/>
        <color theme="1"/>
        <rFont val="Calibri"/>
        <family val="2"/>
        <scheme val="minor"/>
      </rPr>
      <t>Ingresos Megadatos</t>
    </r>
    <r>
      <rPr>
        <sz val="11"/>
        <color theme="1"/>
        <rFont val="Calibri"/>
        <family val="2"/>
        <scheme val="minor"/>
      </rPr>
      <t>.-</t>
    </r>
  </si>
  <si>
    <r>
      <rPr>
        <u/>
        <sz val="11"/>
        <color theme="1"/>
        <rFont val="Calibri"/>
        <family val="2"/>
        <scheme val="minor"/>
      </rPr>
      <t>à Costo de Ventas Telconet</t>
    </r>
    <r>
      <rPr>
        <sz val="11"/>
        <color theme="1"/>
        <rFont val="Calibri"/>
        <family val="2"/>
        <scheme val="minor"/>
      </rPr>
      <t xml:space="preserve">.- </t>
    </r>
  </si>
  <si>
    <t>Eliminacion de ventas de servicios de Megadatos a Telconet</t>
  </si>
  <si>
    <t>-2-</t>
  </si>
  <si>
    <t>Eliminacion de cuentas intercompany</t>
  </si>
  <si>
    <t>-3-</t>
  </si>
  <si>
    <r>
      <rPr>
        <u/>
        <sz val="11"/>
        <color theme="1"/>
        <rFont val="Calibri"/>
        <family val="2"/>
        <scheme val="minor"/>
      </rPr>
      <t>Ingresos por Ventas, Telconet</t>
    </r>
    <r>
      <rPr>
        <sz val="11"/>
        <color theme="1"/>
        <rFont val="Calibri"/>
        <family val="2"/>
        <scheme val="minor"/>
      </rPr>
      <t>.-</t>
    </r>
  </si>
  <si>
    <r>
      <rPr>
        <u/>
        <sz val="11"/>
        <color theme="1"/>
        <rFont val="Calibri"/>
        <family val="2"/>
        <scheme val="minor"/>
      </rPr>
      <t>à Costo de Ventas Megadatos</t>
    </r>
    <r>
      <rPr>
        <sz val="11"/>
        <color theme="1"/>
        <rFont val="Calibri"/>
        <family val="2"/>
        <scheme val="minor"/>
      </rPr>
      <t xml:space="preserve">.- </t>
    </r>
  </si>
  <si>
    <r>
      <rPr>
        <u/>
        <sz val="11"/>
        <color theme="1"/>
        <rFont val="Calibri"/>
        <family val="2"/>
        <scheme val="minor"/>
      </rPr>
      <t>à Anticipos Proveedores Relacionados (ACTIVO)</t>
    </r>
    <r>
      <rPr>
        <sz val="11"/>
        <color theme="1"/>
        <rFont val="Calibri"/>
        <family val="2"/>
        <scheme val="minor"/>
      </rPr>
      <t xml:space="preserve">.- </t>
    </r>
  </si>
  <si>
    <t>Eliminacion de ventas de servicios deTelconet a Megadatos</t>
  </si>
  <si>
    <t>-4-</t>
  </si>
  <si>
    <t>-5-</t>
  </si>
  <si>
    <r>
      <rPr>
        <u/>
        <sz val="11"/>
        <color theme="1"/>
        <rFont val="Calibri"/>
        <family val="2"/>
        <scheme val="minor"/>
      </rPr>
      <t>Ingresos Diferidos Telconet, No  Corriente</t>
    </r>
    <r>
      <rPr>
        <sz val="11"/>
        <color theme="1"/>
        <rFont val="Calibri"/>
        <family val="2"/>
        <scheme val="minor"/>
      </rPr>
      <t>.-</t>
    </r>
  </si>
  <si>
    <t>…Servicio Cash Management</t>
  </si>
  <si>
    <t>Flujo de efectivo de las actividades de operación:</t>
  </si>
  <si>
    <t>Utilidad antes de Impuesto a la Renta</t>
  </si>
  <si>
    <t>Depreciación de propiedades y equipos</t>
  </si>
  <si>
    <t>Amortización de activos intangibles</t>
  </si>
  <si>
    <t>Participación de los trabajadores en las utilidades</t>
  </si>
  <si>
    <t>Provisión para jubilación patronal y desahucio</t>
  </si>
  <si>
    <t>Cambios en activos y pasivos:</t>
  </si>
  <si>
    <t>Cuentas por cobrar comerciales</t>
  </si>
  <si>
    <t>Cuentas por cobrar a compañías relacionadas</t>
  </si>
  <si>
    <t>Cuentas por pagar a proveedores</t>
  </si>
  <si>
    <t>Cuentas por pagar a compañías relacionadas</t>
  </si>
  <si>
    <t>Impuestos por pagar</t>
  </si>
  <si>
    <t>Otras cuentas por pagar</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</si>
  <si>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</si>
  <si>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</si>
  <si>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</si>
  <si>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</si>
  <si>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</si>
  <si>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</si>
  <si>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activos financieros a valor razonable</t>
  </si>
  <si>
    <t>Aumento de inversiones en subsidiarias y asociadas</t>
  </si>
  <si>
    <t>Ventas de propiedades de inversión</t>
  </si>
  <si>
    <t>Ventas de activos de grupo enajenable clasificados como mantenidos para la venta</t>
  </si>
  <si>
    <t>Efectivo neto provisto por (utilizado en) las actividades de inversión</t>
  </si>
  <si>
    <t>Flujo de efectivo de las actividades de financiamiento:</t>
  </si>
  <si>
    <t>Devoluciones de aportes de accionistas</t>
  </si>
  <si>
    <t>Préstamos con entidades financieras</t>
  </si>
  <si>
    <t>Pagos de emisión de obligaciones</t>
  </si>
  <si>
    <t>Efectivo neto (utilizado en) provisto por las actividades de financiamiento</t>
  </si>
  <si>
    <t>(Disminución) incremento neto de efectivo</t>
  </si>
  <si>
    <t>Efectivo y equivalentes de efectivo al inicio del año</t>
  </si>
  <si>
    <t>Efectivo y equivalentes de efectivo al final del año</t>
  </si>
  <si>
    <t>Bajas de activos fijos</t>
  </si>
  <si>
    <t>Beneficios sociales de largo plazo</t>
  </si>
  <si>
    <t>Devolución de aporte de accionistas 13 enero 2015</t>
  </si>
  <si>
    <t>RESERVA LEGAL</t>
  </si>
  <si>
    <t>RESERVA FACULTATIVA</t>
  </si>
  <si>
    <t>RESULTADOS ACUMULADOS</t>
  </si>
  <si>
    <t>Corrección de errores</t>
  </si>
  <si>
    <t>Transf a . Reserva Legal</t>
  </si>
  <si>
    <t>Aumento de capital 30/03/2015</t>
  </si>
  <si>
    <t>OTROS RESULTADOS INTEGRALES</t>
  </si>
  <si>
    <t>Otros resultados integrales:</t>
  </si>
  <si>
    <t>FlUJOS DE EFECTIVO NETOS</t>
  </si>
  <si>
    <t>Aporte para futuras capitalizaciones</t>
  </si>
  <si>
    <t>ESTADOS DE SITUACION FINANCIERA COMBINADOS</t>
  </si>
  <si>
    <t>ESTADOS DE RESULTADOS INTEGRALES COMBINADOS</t>
  </si>
  <si>
    <t>combinacion</t>
  </si>
  <si>
    <t>Combinado</t>
  </si>
  <si>
    <t>Combinacion</t>
  </si>
  <si>
    <t>ESTADO DE CAMBIOS EN EL PATRIMONIO DE ACCIONISTAS COMBINADO</t>
  </si>
  <si>
    <t>ASIENTOS DE COMBINACION</t>
  </si>
  <si>
    <t>ESTADOS DE FLUJOS DE EFECTIVO COMBINADOS</t>
  </si>
  <si>
    <t>SUMAN</t>
  </si>
  <si>
    <t>TOTAL</t>
  </si>
  <si>
    <t>Restauracion de utilidades retenidas al inicio del ejercicio</t>
  </si>
  <si>
    <t>à Ingresos por Ventas, Telconet</t>
  </si>
  <si>
    <t>Más cargos (menos créditos) a resultados que no representan movimiento de efectivo:</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</si>
  <si>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</si>
  <si>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</si>
  <si>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</si>
  <si>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</si>
  <si>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</si>
  <si>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</si>
  <si>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</si>
  <si>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</si>
  <si>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</si>
  <si>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</si>
  <si>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…Intereses por pagar</t>
  </si>
  <si>
    <t>…Prestamos y obligaciones financieras (corrientes)</t>
  </si>
  <si>
    <t>Total Debt Service</t>
  </si>
  <si>
    <t>DEBT Service Coverage Ratio (DSCR)</t>
  </si>
  <si>
    <t>FINANCIAL DEBT TO EBITDA RATIO</t>
  </si>
  <si>
    <t>Financial Debt to EBITDA Ratio</t>
  </si>
  <si>
    <t>Financial Debt</t>
  </si>
  <si>
    <t>Saldos reestructurados al 1o. Enero 2015</t>
  </si>
  <si>
    <t>Adopción cambios NIC 19</t>
  </si>
  <si>
    <t>Saldos previamente reportados al 1o. de enero 2015</t>
  </si>
  <si>
    <t>Saldos reestructurados al 31 de diciembre del 2015</t>
  </si>
  <si>
    <t xml:space="preserve">Utilidad neta y resultado integral del año </t>
  </si>
  <si>
    <t>Adopcion NIC 19</t>
  </si>
  <si>
    <t>Incremento de capital</t>
  </si>
  <si>
    <t>Inversiones en derechos fiduciarios</t>
  </si>
  <si>
    <t>Provisión por deterioro de otras cuentas por cobrar</t>
  </si>
  <si>
    <t>Depreciación de propiedades de inversión</t>
  </si>
  <si>
    <t>Provisión por deterioro de inversión en subsidiarias y asociados</t>
  </si>
  <si>
    <t>Utilidades Retenidas del Ejercicio.-</t>
  </si>
  <si>
    <t>Utilidades Retenidas al Principio del Periodo.-</t>
  </si>
  <si>
    <r>
      <rPr>
        <u/>
        <sz val="11"/>
        <color theme="1"/>
        <rFont val="Calibri"/>
        <family val="2"/>
        <scheme val="minor"/>
      </rPr>
      <t>Utilidades Retenidas al Principio del Periodo</t>
    </r>
    <r>
      <rPr>
        <sz val="11"/>
        <color theme="1"/>
        <rFont val="Calibri"/>
        <family val="2"/>
        <scheme val="minor"/>
      </rPr>
      <t xml:space="preserve"> .-</t>
    </r>
  </si>
  <si>
    <r>
      <rPr>
        <u/>
        <sz val="11"/>
        <color theme="1"/>
        <rFont val="Calibri"/>
        <family val="2"/>
        <scheme val="minor"/>
      </rPr>
      <t>à Otros Egresos</t>
    </r>
    <r>
      <rPr>
        <sz val="11"/>
        <color theme="1"/>
        <rFont val="Calibri"/>
        <family val="2"/>
        <scheme val="minor"/>
      </rPr>
      <t xml:space="preserve">.- </t>
    </r>
  </si>
  <si>
    <t>Transferencia a Reserva Legal</t>
  </si>
  <si>
    <t>Capitalización de utilidades</t>
  </si>
  <si>
    <t>Apropiacion de reserva legal</t>
  </si>
  <si>
    <t>RESULTADOS ACUMULADOS - RESERVA DE CAPITAL</t>
  </si>
  <si>
    <t>Saldos reestructurados al 1 de enero del 2015</t>
  </si>
  <si>
    <t>-6-</t>
  </si>
  <si>
    <r>
      <rPr>
        <u/>
        <sz val="11"/>
        <color theme="1"/>
        <rFont val="Calibri"/>
        <family val="2"/>
        <scheme val="minor"/>
      </rPr>
      <t>Depreciación Acumulada</t>
    </r>
    <r>
      <rPr>
        <sz val="11"/>
        <color theme="1"/>
        <rFont val="Calibri"/>
        <family val="2"/>
        <scheme val="minor"/>
      </rPr>
      <t>.-</t>
    </r>
  </si>
  <si>
    <t xml:space="preserve">Utilidades Retenidas al Inicio del Periodo.- </t>
  </si>
  <si>
    <t>Reestructuración de saldos iniciales</t>
  </si>
  <si>
    <t>Otros resultados integrales reestructurados</t>
  </si>
  <si>
    <t>Saldos al 31 de diciembre del 2016</t>
  </si>
  <si>
    <t>Capitalizacion de utilidades</t>
  </si>
  <si>
    <t>Utilidad neta reestructurada y resultado integral del año</t>
  </si>
  <si>
    <t>Gastos de administracion y ventas</t>
  </si>
  <si>
    <r>
      <rPr>
        <u/>
        <sz val="11"/>
        <color theme="1"/>
        <rFont val="Calibri"/>
        <family val="2"/>
        <scheme val="minor"/>
      </rPr>
      <t>á Costo de Ventas (Gasto depreciación)</t>
    </r>
    <r>
      <rPr>
        <sz val="11"/>
        <color theme="1"/>
        <rFont val="Calibri"/>
        <family val="2"/>
        <scheme val="minor"/>
      </rPr>
      <t xml:space="preserve">.- </t>
    </r>
  </si>
  <si>
    <t>…Relacionadas</t>
  </si>
  <si>
    <r>
      <rPr>
        <u/>
        <sz val="11"/>
        <color theme="1"/>
        <rFont val="Calibri"/>
        <family val="2"/>
        <scheme val="minor"/>
      </rPr>
      <t>à Propiedades y Equipos, Megadatos</t>
    </r>
    <r>
      <rPr>
        <sz val="11"/>
        <color theme="1"/>
        <rFont val="Calibri"/>
        <family val="2"/>
        <scheme val="minor"/>
      </rPr>
      <t>.-</t>
    </r>
  </si>
  <si>
    <t>à Propiedades y Equipos, Megadatos (Equipos para prestación de servicios).-</t>
  </si>
  <si>
    <t>Utilidades retenidas al inicio del periodo</t>
  </si>
  <si>
    <t>COMPRAS DE ACTIVOS FIJOS A TELCONET Y DEPRECIACION EN MEGADATOS:</t>
  </si>
  <si>
    <t>Enero</t>
  </si>
  <si>
    <t>Febrero</t>
  </si>
  <si>
    <t>Marzo</t>
  </si>
  <si>
    <t>Abril</t>
  </si>
  <si>
    <t>Mayo</t>
  </si>
  <si>
    <t>Junio</t>
  </si>
  <si>
    <t>Julio</t>
  </si>
  <si>
    <t>Agosto</t>
  </si>
  <si>
    <t>Septiembre</t>
  </si>
  <si>
    <t>Octubre</t>
  </si>
  <si>
    <t>Noviembre</t>
  </si>
  <si>
    <t>Diciembre</t>
  </si>
  <si>
    <t>COMPRAS</t>
  </si>
  <si>
    <t>% depreciac.</t>
  </si>
  <si>
    <t>GASTO 2016</t>
  </si>
  <si>
    <t>Compras 2015</t>
  </si>
  <si>
    <t>Compras 2016</t>
  </si>
  <si>
    <t>Compras 2014</t>
  </si>
  <si>
    <t>Utilidades retenidas del ejercicio</t>
  </si>
  <si>
    <t>Total de ajustes a utilidades retenidas</t>
  </si>
  <si>
    <t>Eliminación gasto de depreciación de activos fijos en Megadatos; Equipos para la prestación de los servicios</t>
  </si>
  <si>
    <t xml:space="preserve">RESULTADOS ACUMULADOS - POR APLICACIÓN NIIF </t>
  </si>
  <si>
    <t>Utilidades Retenidas del Ejercicio .-</t>
  </si>
  <si>
    <t>Otros Egresos.-</t>
  </si>
  <si>
    <r>
      <rPr>
        <u/>
        <sz val="11"/>
        <color theme="1"/>
        <rFont val="Calibri"/>
        <family val="2"/>
        <scheme val="minor"/>
      </rPr>
      <t>Impuesto diferido</t>
    </r>
    <r>
      <rPr>
        <sz val="11"/>
        <color theme="1"/>
        <rFont val="Calibri"/>
        <family val="2"/>
        <scheme val="minor"/>
      </rPr>
      <t>.-</t>
    </r>
  </si>
  <si>
    <r>
      <rPr>
        <u/>
        <sz val="11"/>
        <color theme="1"/>
        <rFont val="Calibri"/>
        <family val="2"/>
        <scheme val="minor"/>
      </rPr>
      <t>á Impuesto a la renta (GASTO)</t>
    </r>
    <r>
      <rPr>
        <sz val="11"/>
        <color theme="1"/>
        <rFont val="Calibri"/>
        <family val="2"/>
        <scheme val="minor"/>
      </rPr>
      <t>.-</t>
    </r>
  </si>
  <si>
    <t>Impuesto diferido</t>
  </si>
  <si>
    <t>Saldos reestructurados al 1o. de enero del 2015</t>
  </si>
  <si>
    <t>Saldos reestructurados al 1o. de enero 2015</t>
  </si>
  <si>
    <t>Saldos al 31 de diciembre del 2015</t>
  </si>
  <si>
    <t>Activos fijos cargados a gastos en 2014</t>
  </si>
  <si>
    <t>Activos fijos cargados a gastos en 2015</t>
  </si>
  <si>
    <t>Activos fijos cargados a gastos en 2016</t>
  </si>
  <si>
    <t>1.</t>
  </si>
  <si>
    <t>ESTADOS DE RESULTADOS COMBINADOS</t>
  </si>
  <si>
    <t>FLUJOS DE EFECTIVO COMBINADOS</t>
  </si>
  <si>
    <t>MOVIMIENTO DEL PATRIMONIO DE ACCIONISTAS COMIBINADOS</t>
  </si>
  <si>
    <t>2.</t>
  </si>
  <si>
    <t>3.</t>
  </si>
  <si>
    <t>4.</t>
  </si>
  <si>
    <t>5.</t>
  </si>
  <si>
    <t>ASIENTOS CONTABLES DE COMBINACION</t>
  </si>
  <si>
    <t>6.</t>
  </si>
  <si>
    <t>RATIOS FINANCIEROS</t>
  </si>
  <si>
    <t>ING. MARIO ALMEIDA REDROVAN</t>
  </si>
  <si>
    <t xml:space="preserve">                  AUDITOR INTERNO</t>
  </si>
  <si>
    <t>Saldo al 31 de diciembre del 2017</t>
  </si>
  <si>
    <t>Aumento de capital 14/07/2017</t>
  </si>
  <si>
    <t>Aplicación de aporte de accionistas a cuentas por cobrar según Acta de Junta de Accionistas del 29 de diciembre de 2017</t>
  </si>
  <si>
    <t>Saldos al 31 de diciembre del 2017</t>
  </si>
  <si>
    <t>Apropiación reserva legal</t>
  </si>
  <si>
    <t>Aumento de capital según Acta de Junta de Accionistas del 14 de julio de 2017</t>
  </si>
  <si>
    <t>Otros ajustes menores</t>
  </si>
  <si>
    <t>Otros movimientos menores en el patrimonio</t>
  </si>
  <si>
    <r>
      <rPr>
        <u/>
        <sz val="11"/>
        <color theme="1"/>
        <rFont val="Calibri"/>
        <family val="2"/>
        <scheme val="minor"/>
      </rPr>
      <t>Ingresos Diferidos Telconet, Corriente</t>
    </r>
    <r>
      <rPr>
        <sz val="11"/>
        <color theme="1"/>
        <rFont val="Calibri"/>
        <family val="2"/>
        <scheme val="minor"/>
      </rPr>
      <t>.-</t>
    </r>
  </si>
  <si>
    <t>Correccion de pasivos con Accionistas</t>
  </si>
  <si>
    <t>Saldo al 1o. de enero del 2016, reexpresado</t>
  </si>
  <si>
    <t>Saldos al 1o. de enero del 2016</t>
  </si>
  <si>
    <t>Saldos al 1o. de enero del 2016 (reexpresado)</t>
  </si>
  <si>
    <t>Saldo al 1o. de enero del 2016</t>
  </si>
  <si>
    <t>Saldo al 1o. de enero del 2016 (reexpresado)</t>
  </si>
  <si>
    <t>Otros ingresos (gastos), neto</t>
  </si>
  <si>
    <t>Impuesto diferido originado por la venta de activos fijos del anio</t>
  </si>
  <si>
    <t>Emisión de obligaciones, neto</t>
  </si>
  <si>
    <r>
      <rPr>
        <u/>
        <sz val="11"/>
        <color theme="1"/>
        <rFont val="Calibri"/>
        <family val="2"/>
        <scheme val="minor"/>
      </rPr>
      <t>à Costo de Ventas</t>
    </r>
    <r>
      <rPr>
        <sz val="11"/>
        <color theme="1"/>
        <rFont val="Calibri"/>
        <family val="2"/>
        <scheme val="minor"/>
      </rPr>
      <t xml:space="preserve">.- </t>
    </r>
  </si>
  <si>
    <r>
      <rPr>
        <u/>
        <sz val="11"/>
        <color theme="1"/>
        <rFont val="Calibri"/>
        <family val="2"/>
        <scheme val="minor"/>
      </rPr>
      <t>á Anticipos a Proveedores Relacionados</t>
    </r>
    <r>
      <rPr>
        <sz val="11"/>
        <color theme="1"/>
        <rFont val="Calibri"/>
        <family val="2"/>
        <scheme val="minor"/>
      </rPr>
      <t>.-</t>
    </r>
  </si>
  <si>
    <t>EFECTO DE LOS AJUSTES EN RESULTADOS</t>
  </si>
  <si>
    <t>1) Eliminacion de ventas de activos fijos de Telconet a Megadatos</t>
  </si>
  <si>
    <t>2) Eliminación del gasto de depreciación de los activos fijos comprados</t>
  </si>
  <si>
    <t>3) Impuesto diferido</t>
  </si>
  <si>
    <t>Otros</t>
  </si>
  <si>
    <t>COMENTARIOS</t>
  </si>
  <si>
    <t>Valor de acuerdo con el informe de auditoria de Megadatos</t>
  </si>
  <si>
    <t>Gasto total de depreciación de equipos para prestación de servicios (Megadatos)</t>
  </si>
  <si>
    <t>DETALLE DE TRANSACCIONES ENTRE TELCONET Y MEGADATOS</t>
  </si>
  <si>
    <t>Ventas de Telconet a Megadatos</t>
  </si>
  <si>
    <t>Valores corroborados con el informe de Megadatos</t>
  </si>
  <si>
    <t>Sin embargo el ajuste se hizo únicamente por US$42,5 millones</t>
  </si>
  <si>
    <t>Según informe de Telconet:</t>
  </si>
  <si>
    <t>Según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</si>
  <si>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</si>
  <si>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a) Compras de activos fijos</t>
  </si>
  <si>
    <t>b) Cargos al costo de ventas</t>
  </si>
  <si>
    <t>c) Valor registrado como Anticipos a Proveedores Relacionados según la nota 22 b) del informe de Megadatos</t>
  </si>
  <si>
    <t>SI LOS AJUSTES ESTUVIERAN BIEN Y SUPONIENDO QUE NO HAYA MAS VENTAS DE ACTIVOS FIJOS EN EL FUTURO:</t>
  </si>
  <si>
    <t>Eliminación de activos fijos</t>
  </si>
  <si>
    <t>Eliminación depreciación</t>
  </si>
  <si>
    <t>Subtotal</t>
  </si>
  <si>
    <t>ANIOS</t>
  </si>
  <si>
    <t>Si no se dan más ventas de activos fijos de Telconet a Megadatos, entonces</t>
  </si>
  <si>
    <t>únicamente se eliminará la depreciación en los próximos tres anios (período de</t>
  </si>
  <si>
    <t>depreciación de los equipos), con lo cual en los anios futuros se reversa el efecto</t>
  </si>
  <si>
    <t>Saldo al 31 de diciembre del 2018</t>
  </si>
  <si>
    <t>Saldo al 1o. de enero del 2017 (reexpresado)</t>
  </si>
  <si>
    <t>Saldos al 31 de diciembre del 2018</t>
  </si>
  <si>
    <t>Efecto en resultados acumulados</t>
  </si>
  <si>
    <t>y ajuste del gasto de depreciación</t>
  </si>
  <si>
    <t>del impuesto diferido que surge de la combinación</t>
  </si>
  <si>
    <t>Porcion corriente de valores emitidos</t>
  </si>
  <si>
    <t>Incremento de la Reserva legal</t>
  </si>
  <si>
    <t>Eefecto de implantación de la NIIF 9</t>
  </si>
  <si>
    <t xml:space="preserve">Pago de dividendos </t>
  </si>
  <si>
    <t xml:space="preserve">Resultado del ejercicio </t>
  </si>
  <si>
    <t>Incremento a la Reserva Legal Ajuste en 2018</t>
  </si>
  <si>
    <t>Reservas totales</t>
  </si>
  <si>
    <t>Resultados acumulados totales</t>
  </si>
  <si>
    <t>TOTAL DEL PATRIMONIO</t>
  </si>
  <si>
    <t xml:space="preserve">Otros resultados integrales </t>
  </si>
  <si>
    <t>Pasivo contingente</t>
  </si>
  <si>
    <t>Jubilacion patronal y desahucio</t>
  </si>
  <si>
    <t>Provisión por deterioro de cuentas por cobrar</t>
  </si>
  <si>
    <t>Adiciones de propiedades y equipos</t>
  </si>
  <si>
    <t>Adiciones de activos intangibles</t>
  </si>
  <si>
    <t>Otros ingresos (gastos), neto .-</t>
  </si>
  <si>
    <t>-7-</t>
  </si>
  <si>
    <t>Ajuste del impuesto diferido por cambio en la tasa de 22% a</t>
  </si>
  <si>
    <t>25%</t>
  </si>
  <si>
    <t>liquidarán en el último anio</t>
  </si>
  <si>
    <t>Valor calculado como el 25% de los efectos de ajustes al P&amp;G en 2018 (22% en anios</t>
  </si>
  <si>
    <t>anteriores</t>
  </si>
  <si>
    <t>Obligaciones financieras, neto</t>
  </si>
  <si>
    <r>
      <rPr>
        <u/>
        <sz val="11"/>
        <color theme="1"/>
        <rFont val="Calibri"/>
        <family val="2"/>
        <scheme val="minor"/>
      </rPr>
      <t>Depreciación acumulada</t>
    </r>
    <r>
      <rPr>
        <sz val="11"/>
        <color theme="1"/>
        <rFont val="Calibri"/>
        <family val="2"/>
        <scheme val="minor"/>
      </rPr>
      <t>. -</t>
    </r>
  </si>
  <si>
    <t>Pasivos por arrendamiento</t>
  </si>
  <si>
    <t>Nuevas mediciones de los planes de beneficio definido - Ganancias (perdidas) actuariales</t>
  </si>
  <si>
    <t>Pago de dividendos</t>
  </si>
  <si>
    <t>Pago capital de pasivo por arrendamiento</t>
  </si>
  <si>
    <t>Saldo al 31 de diciembre del 2019</t>
  </si>
  <si>
    <t>Saldos al 31 de diciembre del 2019</t>
  </si>
  <si>
    <t>Efecto de implantacion de la NIIF 16</t>
  </si>
  <si>
    <t>Resultado del ejercicio y otros resultados integrales</t>
  </si>
  <si>
    <r>
      <rPr>
        <u/>
        <sz val="11"/>
        <color theme="1"/>
        <rFont val="Calibri"/>
        <family val="2"/>
        <scheme val="minor"/>
      </rPr>
      <t>à Cuenta por Cobrar relacionadas, C/P</t>
    </r>
    <r>
      <rPr>
        <sz val="11"/>
        <color theme="1"/>
        <rFont val="Calibri"/>
        <family val="2"/>
        <scheme val="minor"/>
      </rPr>
      <t xml:space="preserve">.- </t>
    </r>
  </si>
  <si>
    <r>
      <rPr>
        <u/>
        <sz val="11"/>
        <color theme="1"/>
        <rFont val="Calibri"/>
        <family val="2"/>
        <scheme val="minor"/>
      </rPr>
      <t>Otros ingresos, neto</t>
    </r>
    <r>
      <rPr>
        <sz val="11"/>
        <color theme="1"/>
        <rFont val="Calibri"/>
        <family val="2"/>
        <scheme val="minor"/>
      </rPr>
      <t>.-</t>
    </r>
  </si>
  <si>
    <t>-8-</t>
  </si>
  <si>
    <t>Al 31 de diciembre del 2019 y 2018</t>
  </si>
  <si>
    <t>Efecto en resultados</t>
  </si>
  <si>
    <t>Impuesto diferido por combinacion</t>
  </si>
  <si>
    <t xml:space="preserve">Saldo de US$15 mil, no material, originado por otros ajustes menores y que se </t>
  </si>
  <si>
    <t>Activos por derechos de uso</t>
  </si>
  <si>
    <t>Activo por impuesto diferido</t>
  </si>
  <si>
    <t>Porción corriente de obligaciones financieras</t>
  </si>
  <si>
    <t>Sobregiros bancarios</t>
  </si>
  <si>
    <t xml:space="preserve">Valores emitidos </t>
  </si>
  <si>
    <t>Pasivos del contrato</t>
  </si>
  <si>
    <t>Aumento de capital según Acta de Accionistas</t>
  </si>
  <si>
    <t>Baja de Capital</t>
  </si>
  <si>
    <t>Baja de capital</t>
  </si>
  <si>
    <t>Aumento de capital</t>
  </si>
  <si>
    <t>Participación a trabajadores</t>
  </si>
  <si>
    <t xml:space="preserve">Impuesto a la renta </t>
  </si>
  <si>
    <t>Pasivos del contrato L/P (Telconet).-</t>
  </si>
  <si>
    <t>Pasivos del contrato C/P (telconet).-</t>
  </si>
  <si>
    <r>
      <rPr>
        <u/>
        <sz val="11"/>
        <color theme="1"/>
        <rFont val="Calibri"/>
        <family val="2"/>
        <scheme val="minor"/>
      </rPr>
      <t>Pasivos del Contrato C/P</t>
    </r>
    <r>
      <rPr>
        <sz val="11"/>
        <color theme="1"/>
        <rFont val="Calibri"/>
        <family val="2"/>
        <scheme val="minor"/>
      </rPr>
      <t>.-</t>
    </r>
  </si>
  <si>
    <r>
      <rPr>
        <u/>
        <sz val="11"/>
        <color theme="1"/>
        <rFont val="Calibri"/>
        <family val="2"/>
        <scheme val="minor"/>
      </rPr>
      <t>Cuenta por Pagar relacionadas C/P (Megadatos)</t>
    </r>
    <r>
      <rPr>
        <sz val="11"/>
        <color theme="1"/>
        <rFont val="Calibri"/>
        <family val="2"/>
        <scheme val="minor"/>
      </rPr>
      <t>.-</t>
    </r>
  </si>
  <si>
    <r>
      <rPr>
        <u/>
        <sz val="11"/>
        <color theme="1"/>
        <rFont val="Calibri"/>
        <family val="2"/>
        <scheme val="minor"/>
      </rPr>
      <t>Cuenta por Pagar relacionadas C/P (Telconet)</t>
    </r>
    <r>
      <rPr>
        <sz val="11"/>
        <color theme="1"/>
        <rFont val="Calibri"/>
        <family val="2"/>
        <scheme val="minor"/>
      </rPr>
      <t>.-</t>
    </r>
  </si>
  <si>
    <r>
      <rPr>
        <u/>
        <sz val="11"/>
        <color theme="1"/>
        <rFont val="Calibri"/>
        <family val="2"/>
        <scheme val="minor"/>
      </rPr>
      <t xml:space="preserve">à Cuentas por cobrar relacionadas C/P </t>
    </r>
    <r>
      <rPr>
        <sz val="11"/>
        <color theme="1"/>
        <rFont val="Calibri"/>
        <family val="2"/>
        <scheme val="minor"/>
      </rPr>
      <t xml:space="preserve">.- </t>
    </r>
  </si>
  <si>
    <t>POR LOS AÑOS TERMINADOS EL 31 DE DICIEMBRE DEL 2019 Y 2018</t>
  </si>
  <si>
    <t>ANALISIS DEL IMPUESTO DIFERIDO</t>
  </si>
  <si>
    <t>TELCONET S.A. Y COMPANIA RELACIONADA</t>
  </si>
  <si>
    <t>Al 31 de diciembre del 2019</t>
  </si>
  <si>
    <t>INDICADORES FINANCIEROS</t>
  </si>
  <si>
    <t>Depreciación de activos por derechos de uso</t>
  </si>
  <si>
    <r>
      <t xml:space="preserve">        </t>
    </r>
    <r>
      <rPr>
        <u/>
        <sz val="9"/>
        <rFont val="Arial"/>
        <family val="2"/>
      </rPr>
      <t>Activo</t>
    </r>
  </si>
  <si>
    <r>
      <t xml:space="preserve">        </t>
    </r>
    <r>
      <rPr>
        <u/>
        <sz val="9"/>
        <rFont val="Arial"/>
        <family val="2"/>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</si>
  <si>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</si>
  <si>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</si>
  <si>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</si>
  <si>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</si>
  <si>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</si>
  <si>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</si>
  <si>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</si>
  <si>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</si>
  <si>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</si>
  <si>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</si>
  <si>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</si>
  <si>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</si>
  <si>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</si>
  <si>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Beneficios Sociales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</si>
  <si>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</si>
  <si>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</si>
  <si>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</si>
  <si>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</si>
  <si>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</si>
  <si>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</si>
  <si>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</si>
  <si>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</si>
  <si>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</si>
  <si>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</si>
  <si>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</si>
  <si>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</si>
  <si>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</si>
  <si>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</si>
  <si>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</si>
  <si>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</si>
  <si>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</si>
  <si>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</si>
  <si>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</si>
  <si>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</si>
  <si>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</si>
  <si>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</si>
  <si>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</si>
  <si>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</si>
  <si>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ACTIVOS FIJOS</t>
  </si>
  <si>
    <t>Efecto de implementacion NIIF 9</t>
  </si>
  <si>
    <t>Gasto de depreciación</t>
  </si>
  <si>
    <t>Otras variaciones netas</t>
  </si>
  <si>
    <t>ACTIVOS POR DERECHOS DE USO</t>
  </si>
  <si>
    <t>Más Provision de impuesto a la renta</t>
  </si>
  <si>
    <t>Utilidad antes de IR</t>
  </si>
  <si>
    <t>Registro contra pasivos por arrendamiento</t>
  </si>
  <si>
    <t>Pagos netos</t>
  </si>
  <si>
    <t>JUBILACION Y DESAHUCIO</t>
  </si>
  <si>
    <t>Provision del periodo</t>
  </si>
  <si>
    <t>ACTIVOS INTANGIBLES</t>
  </si>
  <si>
    <t>Amortizacion del periodo</t>
  </si>
  <si>
    <t>PROPIEDADES DE INVERSION</t>
  </si>
  <si>
    <t>Amortizacion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</si>
  <si>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</si>
  <si>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</si>
  <si>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</si>
  <si>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</si>
  <si>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</si>
  <si>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</si>
  <si>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</si>
  <si>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</si>
  <si>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</si>
  <si>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</si>
  <si>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</si>
  <si>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</si>
  <si>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PASIVOS POR ARRENDAMIENTO</t>
  </si>
  <si>
    <t>Efecto aplicacion NIIF 9</t>
  </si>
  <si>
    <t>Registro contra derechos de uso</t>
  </si>
  <si>
    <t>Cargo (abono) a resultados</t>
  </si>
  <si>
    <t>Disminución (aumento) de inversiones mantenidas hasta el vencimiento</t>
  </si>
  <si>
    <t>Activos por derechos de uso (pagos)</t>
  </si>
  <si>
    <t>Pagos, neto</t>
  </si>
  <si>
    <t>Aumento de inversiones en derechos fiduciarios</t>
  </si>
  <si>
    <t>Variación de impuestos diferidos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</si>
</sst>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64" formatCode="_(* #,##0.00_);_(* \(#,##0.00\);_(* &quot;-&quot;??_);_(@_)"/>
    <numFmt numFmtId="165" formatCode="_(* #,##0_);_(* \(#,##0\);_(* &quot;-&quot;??_);_(@_)"/>
    <numFmt numFmtId="166" formatCode="_(* #,##0.0_);_(* \(#,##0.0\);_(* &quot;-&quot;??_);_(@_)"/>
    <numFmt numFmtId="167" formatCode="0.0"/>
    <numFmt numFmtId="168" formatCode="0.0%"/>
    <numFmt numFmtId="169" formatCode="_ * #,##0_ ;_ * \-#,##0_ ;_ * &quot;-&quot;??_ ;_ @_ "/>
    <numFmt numFmtId="170" formatCode="_ * #,##0_ ;\(* #,##0\);_ * &quot;-&quot;??_ ;_ @_ "/>
    <numFmt numFmtId="171" formatCode="#,##0;[Red]#,##0"/>
    <numFmt numFmtId="172" formatCode="#,##0.00;[Red]#,##0.00"/>
    <numFmt numFmtId="173" formatCode="_ * #,##0_ ;\(* #,##0\);_ * &quot;-&quot;_ ;_ @_ "/>
  </numFmts>
  <fonts count="2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b/>
      <sz val="9"/>
      <color theme="1"/>
      <name val="Calibri"/>
      <family val="2"/>
      <scheme val="minor"/>
    </font>
    <font>
      <b/>
      <sz val="10"/>
      <color theme="1"/>
      <name val="Calibri"/>
      <family val="2"/>
      <scheme val="minor"/>
    </font>
    <font>
      <u val="singleAccounting"/>
      <sz val="11"/>
      <color theme="1"/>
      <name val="Calibri"/>
      <family val="2"/>
      <scheme val="minor"/>
    </font>
    <font>
      <sz val="8"/>
      <color theme="1"/>
      <name val="Calibri"/>
      <family val="2"/>
      <scheme val="minor"/>
    </font>
    <font>
      <u/>
      <sz val="9"/>
      <color theme="1"/>
      <name val="Calibri"/>
      <family val="2"/>
      <scheme val="minor"/>
    </font>
    <font>
      <sz val="9"/>
      <color theme="1"/>
      <name val="Calibri"/>
      <family val="2"/>
      <scheme val="minor"/>
    </font>
    <font>
      <u/>
      <sz val="11"/>
      <color theme="10"/>
      <name val="Calibri"/>
      <family val="2"/>
      <scheme val="minor"/>
    </font>
    <font>
      <sz val="10"/>
      <name val="Arial"/>
      <family val="2"/>
    </font>
    <font>
      <sz val="10"/>
      <color indexed="8"/>
      <name val="MS Sans Serif"/>
      <family val="2"/>
    </font>
    <font>
      <i/>
      <sz val="8"/>
      <color theme="1"/>
      <name val="Calibri"/>
      <family val="2"/>
      <scheme val="minor"/>
    </font>
    <font>
      <sz val="10"/>
      <color theme="1"/>
      <name val="Calibri"/>
      <family val="2"/>
      <scheme val="minor"/>
    </font>
    <font>
      <sz val="9"/>
      <name val="Arial"/>
      <family val="2"/>
    </font>
    <font>
      <sz val="9"/>
      <color theme="1"/>
      <name val="Arial"/>
      <family val="2"/>
    </font>
    <font>
      <sz val="9"/>
      <color rgb="FFFF0000"/>
      <name val="Arial"/>
      <family val="2"/>
    </font>
    <font>
      <u/>
      <sz val="9"/>
      <name val="Arial"/>
      <family val="2"/>
    </font>
    <font>
      <u/>
      <sz val="9"/>
      <color rgb="FFFF0000"/>
      <name val="Arial"/>
      <family val="2"/>
    </font>
    <font>
      <b/>
      <sz val="9"/>
      <name val="Arial"/>
      <family val="2"/>
    </font>
    <font>
      <b/>
      <u/>
      <sz val="9"/>
      <name val="Arial"/>
      <family val="2"/>
    </font>
    <font>
      <sz val="7"/>
      <color theme="1"/>
      <name val="Arial"/>
      <family val="2"/>
    </font>
    <font>
      <sz val="7"/>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s>
  <cellStyleXfs count="9">
    <xf numFmtId="0" fontId="0" fillId="0" borderId="0"/>
    <xf numFmtId="164" fontId="1" fillId="0" borderId="0" applyFont="0" applyFill="0" applyBorder="0" applyAlignment="0" applyProtection="0"/>
    <xf numFmtId="0" fontId="11" fillId="0" borderId="0" applyNumberFormat="0" applyFill="0" applyBorder="0" applyAlignment="0" applyProtection="0"/>
    <xf numFmtId="43"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0"/>
    <xf numFmtId="9" fontId="1" fillId="0" borderId="0" applyFont="0" applyFill="0" applyBorder="0" applyAlignment="0" applyProtection="0"/>
    <xf numFmtId="0" fontId="12" fillId="0" borderId="0"/>
  </cellStyleXfs>
  <cellXfs count="324">
    <xf numFmtId="0" fontId="0" fillId="0" borderId="0" xfId="0"/>
    <xf numFmtId="0" fontId="2" fillId="0" borderId="0" xfId="0" applyFont="1"/>
    <xf numFmtId="0" fontId="3" fillId="0" borderId="0" xfId="0" applyFont="1"/>
    <xf numFmtId="0" fontId="0" fillId="0" borderId="0" xfId="0" applyFont="1"/>
    <xf numFmtId="165" fontId="0" fillId="0" borderId="0" xfId="1" applyNumberFormat="1" applyFont="1"/>
    <xf numFmtId="0" fontId="0" fillId="0" borderId="0" xfId="0"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1" xfId="0" applyBorder="1"/>
    <xf numFmtId="0" fontId="0" fillId="0" borderId="8" xfId="0" applyBorder="1"/>
    <xf numFmtId="0" fontId="0" fillId="0" borderId="9" xfId="0" applyBorder="1"/>
    <xf numFmtId="0" fontId="0" fillId="0" borderId="10" xfId="0" applyBorder="1"/>
    <xf numFmtId="0" fontId="0" fillId="0" borderId="10" xfId="0" applyBorder="1" applyAlignment="1">
      <alignment horizontal="center"/>
    </xf>
    <xf numFmtId="0" fontId="4" fillId="0" borderId="10" xfId="0" applyFont="1" applyBorder="1" applyAlignment="1">
      <alignment horizontal="center"/>
    </xf>
    <xf numFmtId="0" fontId="4" fillId="0" borderId="10" xfId="0" applyFont="1" applyBorder="1" applyAlignment="1"/>
    <xf numFmtId="165" fontId="0" fillId="0" borderId="10" xfId="1" applyNumberFormat="1" applyFont="1" applyBorder="1"/>
    <xf numFmtId="165" fontId="0" fillId="0" borderId="11" xfId="1" applyNumberFormat="1" applyFont="1" applyBorder="1"/>
    <xf numFmtId="0" fontId="0" fillId="0" borderId="7" xfId="0" applyBorder="1"/>
    <xf numFmtId="165" fontId="0" fillId="0" borderId="9" xfId="1" applyNumberFormat="1" applyFont="1" applyBorder="1"/>
    <xf numFmtId="165" fontId="4" fillId="0" borderId="10" xfId="1" applyNumberFormat="1" applyFont="1" applyBorder="1" applyAlignment="1">
      <alignment horizontal="center"/>
    </xf>
    <xf numFmtId="0" fontId="0" fillId="0" borderId="5" xfId="0" applyFill="1" applyBorder="1"/>
    <xf numFmtId="165" fontId="0" fillId="0" borderId="12" xfId="1" applyNumberFormat="1" applyFont="1" applyBorder="1"/>
    <xf numFmtId="0" fontId="0" fillId="0" borderId="12" xfId="0" applyBorder="1"/>
    <xf numFmtId="165" fontId="0" fillId="0" borderId="10" xfId="0" applyNumberFormat="1" applyBorder="1"/>
    <xf numFmtId="165" fontId="0" fillId="0" borderId="6" xfId="1" applyNumberFormat="1" applyFont="1" applyBorder="1"/>
    <xf numFmtId="165" fontId="0" fillId="0" borderId="11" xfId="0" applyNumberFormat="1" applyBorder="1"/>
    <xf numFmtId="165" fontId="0" fillId="0" borderId="9" xfId="0" applyNumberFormat="1" applyBorder="1"/>
    <xf numFmtId="165" fontId="2" fillId="0" borderId="11" xfId="1" applyNumberFormat="1" applyFont="1" applyBorder="1"/>
    <xf numFmtId="0" fontId="2" fillId="0" borderId="2" xfId="0" applyFont="1" applyBorder="1"/>
    <xf numFmtId="0" fontId="2" fillId="0" borderId="5" xfId="0" applyFont="1" applyBorder="1"/>
    <xf numFmtId="165" fontId="2" fillId="0" borderId="12" xfId="1" applyNumberFormat="1" applyFont="1" applyBorder="1"/>
    <xf numFmtId="165" fontId="0" fillId="0" borderId="0" xfId="0" applyNumberFormat="1"/>
    <xf numFmtId="165" fontId="0" fillId="0" borderId="10" xfId="1" applyNumberFormat="1" applyFont="1" applyFill="1" applyBorder="1"/>
    <xf numFmtId="0" fontId="0" fillId="0" borderId="0" xfId="0" applyFill="1"/>
    <xf numFmtId="0" fontId="0" fillId="0" borderId="0" xfId="0" applyFill="1" applyBorder="1"/>
    <xf numFmtId="165" fontId="0" fillId="0" borderId="0" xfId="1" applyNumberFormat="1" applyFont="1" applyFill="1"/>
    <xf numFmtId="0" fontId="4" fillId="0" borderId="5" xfId="0" applyFont="1" applyFill="1" applyBorder="1"/>
    <xf numFmtId="165" fontId="0" fillId="0" borderId="0" xfId="0" applyNumberFormat="1" applyFill="1"/>
    <xf numFmtId="0" fontId="0" fillId="0" borderId="0" xfId="0" applyFill="1" applyAlignment="1">
      <alignment horizontal="center"/>
    </xf>
    <xf numFmtId="0" fontId="0" fillId="0" borderId="10" xfId="0" applyFill="1" applyBorder="1"/>
    <xf numFmtId="165" fontId="0" fillId="0" borderId="11" xfId="1" applyNumberFormat="1" applyFont="1" applyFill="1" applyBorder="1"/>
    <xf numFmtId="165" fontId="0" fillId="0" borderId="9" xfId="1" applyNumberFormat="1" applyFont="1" applyFill="1" applyBorder="1"/>
    <xf numFmtId="165" fontId="0" fillId="0" borderId="2" xfId="1" applyNumberFormat="1" applyFont="1" applyFill="1" applyBorder="1"/>
    <xf numFmtId="165" fontId="0" fillId="0" borderId="5" xfId="1" applyNumberFormat="1" applyFont="1" applyFill="1" applyBorder="1"/>
    <xf numFmtId="165" fontId="0" fillId="0" borderId="13" xfId="1" applyNumberFormat="1" applyFont="1" applyFill="1" applyBorder="1"/>
    <xf numFmtId="165" fontId="0" fillId="0" borderId="12" xfId="1" applyNumberFormat="1" applyFont="1" applyFill="1" applyBorder="1"/>
    <xf numFmtId="0" fontId="4" fillId="0" borderId="0" xfId="0" applyFont="1" applyAlignment="1">
      <alignment horizontal="center"/>
    </xf>
    <xf numFmtId="0" fontId="0" fillId="0" borderId="0" xfId="0" quotePrefix="1"/>
    <xf numFmtId="166" fontId="0" fillId="0" borderId="11" xfId="1" applyNumberFormat="1" applyFont="1" applyBorder="1"/>
    <xf numFmtId="165" fontId="7" fillId="0" borderId="0" xfId="1" applyNumberFormat="1" applyFont="1"/>
    <xf numFmtId="165" fontId="1" fillId="0" borderId="0" xfId="1" applyNumberFormat="1" applyFont="1" applyBorder="1"/>
    <xf numFmtId="165" fontId="0" fillId="0" borderId="5" xfId="1" applyNumberFormat="1" applyFont="1" applyBorder="1"/>
    <xf numFmtId="165" fontId="0" fillId="0" borderId="7" xfId="1" applyNumberFormat="1" applyFont="1" applyBorder="1"/>
    <xf numFmtId="165" fontId="0" fillId="0" borderId="0" xfId="1" applyNumberFormat="1" applyFont="1" applyBorder="1"/>
    <xf numFmtId="165" fontId="0" fillId="0" borderId="1" xfId="1" applyNumberFormat="1" applyFont="1" applyBorder="1"/>
    <xf numFmtId="165" fontId="0" fillId="0" borderId="3" xfId="1" applyNumberFormat="1" applyFont="1" applyBorder="1"/>
    <xf numFmtId="165" fontId="0" fillId="2" borderId="10" xfId="1" applyNumberFormat="1" applyFont="1" applyFill="1" applyBorder="1"/>
    <xf numFmtId="165" fontId="0" fillId="0" borderId="2" xfId="1" applyNumberFormat="1" applyFont="1" applyBorder="1"/>
    <xf numFmtId="165" fontId="0" fillId="0" borderId="5" xfId="1" applyNumberFormat="1" applyFont="1" applyBorder="1" applyAlignment="1">
      <alignment horizontal="center"/>
    </xf>
    <xf numFmtId="165" fontId="4" fillId="0" borderId="5" xfId="1" applyNumberFormat="1" applyFont="1" applyBorder="1" applyAlignment="1">
      <alignment horizontal="center"/>
    </xf>
    <xf numFmtId="165" fontId="4" fillId="0" borderId="0" xfId="1" applyNumberFormat="1" applyFont="1" applyBorder="1" applyAlignment="1">
      <alignment horizontal="center"/>
    </xf>
    <xf numFmtId="165" fontId="4" fillId="0" borderId="5" xfId="1" applyNumberFormat="1" applyFont="1" applyBorder="1" applyAlignment="1"/>
    <xf numFmtId="0" fontId="0" fillId="0" borderId="10" xfId="1" applyNumberFormat="1" applyFont="1" applyBorder="1" applyAlignment="1">
      <alignment horizontal="center"/>
    </xf>
    <xf numFmtId="0" fontId="0" fillId="0" borderId="12" xfId="0" applyFill="1" applyBorder="1"/>
    <xf numFmtId="0" fontId="0" fillId="0" borderId="11" xfId="0" applyFill="1" applyBorder="1"/>
    <xf numFmtId="0" fontId="0" fillId="0" borderId="9" xfId="0" applyFill="1" applyBorder="1"/>
    <xf numFmtId="165" fontId="0" fillId="0" borderId="0" xfId="1" applyNumberFormat="1" applyFont="1" applyFill="1" applyBorder="1"/>
    <xf numFmtId="165" fontId="0" fillId="2" borderId="0" xfId="1" applyNumberFormat="1" applyFont="1" applyFill="1"/>
    <xf numFmtId="0" fontId="0" fillId="0" borderId="0" xfId="0" applyAlignment="1">
      <alignment horizontal="center"/>
    </xf>
    <xf numFmtId="165" fontId="0" fillId="0" borderId="3" xfId="0" applyNumberFormat="1" applyBorder="1"/>
    <xf numFmtId="165" fontId="0" fillId="0" borderId="0" xfId="0" applyNumberFormat="1" applyBorder="1"/>
    <xf numFmtId="0" fontId="0" fillId="0" borderId="14" xfId="0" applyBorder="1"/>
    <xf numFmtId="0" fontId="0" fillId="0" borderId="15" xfId="0" applyBorder="1"/>
    <xf numFmtId="165" fontId="0" fillId="0" borderId="2" xfId="0" applyNumberFormat="1" applyFill="1" applyBorder="1"/>
    <xf numFmtId="0" fontId="0" fillId="0" borderId="4" xfId="0" applyFill="1" applyBorder="1"/>
    <xf numFmtId="165" fontId="0" fillId="0" borderId="7" xfId="1" applyNumberFormat="1" applyFont="1" applyFill="1" applyBorder="1"/>
    <xf numFmtId="0" fontId="0" fillId="0" borderId="10" xfId="0" applyFill="1" applyBorder="1" applyAlignment="1">
      <alignment horizontal="center"/>
    </xf>
    <xf numFmtId="0" fontId="4" fillId="0" borderId="10" xfId="0" applyFont="1" applyFill="1" applyBorder="1" applyAlignment="1"/>
    <xf numFmtId="165" fontId="2" fillId="0" borderId="11" xfId="1" applyNumberFormat="1" applyFont="1" applyFill="1" applyBorder="1"/>
    <xf numFmtId="165" fontId="0" fillId="0" borderId="10" xfId="0" applyNumberFormat="1" applyFill="1" applyBorder="1"/>
    <xf numFmtId="165" fontId="7" fillId="0" borderId="0" xfId="1" applyNumberFormat="1" applyFont="1" applyFill="1"/>
    <xf numFmtId="0" fontId="11" fillId="0" borderId="0" xfId="2"/>
    <xf numFmtId="0" fontId="5" fillId="0" borderId="0" xfId="0" applyFont="1" applyAlignment="1">
      <alignment horizontal="left" wrapText="1"/>
    </xf>
    <xf numFmtId="0" fontId="10" fillId="0" borderId="6" xfId="0" applyFont="1" applyBorder="1" applyAlignment="1">
      <alignment horizontal="left" wrapText="1"/>
    </xf>
    <xf numFmtId="0" fontId="0" fillId="0" borderId="6" xfId="0" applyBorder="1" applyAlignment="1">
      <alignment horizontal="left" wrapText="1"/>
    </xf>
    <xf numFmtId="0" fontId="0" fillId="0" borderId="6" xfId="0" applyFont="1" applyBorder="1" applyAlignment="1">
      <alignment horizontal="left" wrapText="1"/>
    </xf>
    <xf numFmtId="0" fontId="5" fillId="0" borderId="12" xfId="0" applyFont="1" applyBorder="1" applyAlignment="1">
      <alignment horizontal="left" wrapText="1"/>
    </xf>
    <xf numFmtId="0" fontId="0" fillId="0" borderId="10" xfId="0" applyBorder="1" applyAlignment="1">
      <alignment horizontal="center" vertical="center"/>
    </xf>
    <xf numFmtId="0" fontId="0" fillId="0" borderId="9" xfId="0" applyBorder="1" applyAlignment="1">
      <alignment horizontal="center"/>
    </xf>
    <xf numFmtId="165" fontId="0" fillId="2" borderId="5" xfId="1" applyNumberFormat="1" applyFont="1" applyFill="1" applyBorder="1"/>
    <xf numFmtId="0" fontId="0" fillId="2" borderId="5" xfId="0" applyFill="1" applyBorder="1"/>
    <xf numFmtId="0" fontId="0" fillId="2" borderId="0" xfId="0" applyFill="1" applyBorder="1"/>
    <xf numFmtId="165" fontId="0" fillId="0" borderId="16" xfId="1" applyNumberFormat="1" applyFont="1" applyFill="1" applyBorder="1"/>
    <xf numFmtId="0" fontId="0" fillId="0" borderId="16" xfId="0" applyFill="1" applyBorder="1"/>
    <xf numFmtId="165" fontId="0" fillId="0" borderId="16" xfId="1" applyNumberFormat="1" applyFont="1" applyBorder="1"/>
    <xf numFmtId="165" fontId="0" fillId="0" borderId="0" xfId="0" applyNumberFormat="1" applyAlignment="1">
      <alignment horizontal="center"/>
    </xf>
    <xf numFmtId="9" fontId="0" fillId="0" borderId="10" xfId="7" applyFont="1" applyBorder="1"/>
    <xf numFmtId="167" fontId="0" fillId="0" borderId="11" xfId="1" applyNumberFormat="1" applyFont="1" applyBorder="1"/>
    <xf numFmtId="0" fontId="0" fillId="0" borderId="6" xfId="0" applyFill="1" applyBorder="1"/>
    <xf numFmtId="0" fontId="0" fillId="0" borderId="0" xfId="0" quotePrefix="1" applyFill="1"/>
    <xf numFmtId="0" fontId="0" fillId="0" borderId="11" xfId="0" applyBorder="1" applyAlignment="1">
      <alignment horizontal="center"/>
    </xf>
    <xf numFmtId="0" fontId="4" fillId="0" borderId="9" xfId="0" applyFont="1" applyBorder="1" applyAlignment="1">
      <alignment horizontal="center"/>
    </xf>
    <xf numFmtId="0" fontId="2" fillId="0" borderId="13" xfId="0" applyFont="1" applyBorder="1"/>
    <xf numFmtId="0" fontId="2" fillId="0" borderId="14" xfId="0" applyFont="1" applyBorder="1"/>
    <xf numFmtId="0" fontId="0" fillId="0" borderId="11" xfId="0" applyBorder="1"/>
    <xf numFmtId="0" fontId="0" fillId="0" borderId="11" xfId="0" applyBorder="1" applyAlignment="1">
      <alignment wrapText="1"/>
    </xf>
    <xf numFmtId="0" fontId="0" fillId="2" borderId="0" xfId="0" applyFill="1"/>
    <xf numFmtId="0" fontId="0" fillId="2" borderId="11" xfId="0" applyFill="1" applyBorder="1"/>
    <xf numFmtId="0" fontId="0" fillId="2" borderId="7" xfId="0" applyFill="1" applyBorder="1"/>
    <xf numFmtId="165" fontId="0" fillId="2" borderId="12" xfId="1" applyNumberFormat="1" applyFont="1" applyFill="1" applyBorder="1" applyAlignment="1">
      <alignment vertical="center"/>
    </xf>
    <xf numFmtId="0" fontId="0" fillId="2" borderId="11" xfId="0" applyFill="1" applyBorder="1" applyAlignment="1">
      <alignment wrapText="1"/>
    </xf>
    <xf numFmtId="0" fontId="0" fillId="0" borderId="11" xfId="0" applyBorder="1" applyAlignment="1">
      <alignment horizontal="center" wrapText="1"/>
    </xf>
    <xf numFmtId="165" fontId="0" fillId="0" borderId="11" xfId="1" applyNumberFormat="1"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165" fontId="0" fillId="0" borderId="10" xfId="1" applyNumberFormat="1" applyFont="1" applyBorder="1" applyAlignment="1">
      <alignment horizontal="center" wrapText="1"/>
    </xf>
    <xf numFmtId="0" fontId="0" fillId="0" borderId="2" xfId="0" applyBorder="1" applyAlignment="1">
      <alignment horizontal="right"/>
    </xf>
    <xf numFmtId="165" fontId="0" fillId="0" borderId="10" xfId="0" applyNumberFormat="1" applyBorder="1" applyAlignment="1">
      <alignment horizontal="center" wrapText="1"/>
    </xf>
    <xf numFmtId="0" fontId="4" fillId="0" borderId="2" xfId="0" applyFont="1" applyFill="1" applyBorder="1"/>
    <xf numFmtId="0" fontId="0" fillId="0" borderId="3" xfId="0" applyFill="1" applyBorder="1"/>
    <xf numFmtId="165" fontId="0" fillId="0" borderId="0" xfId="0" applyNumberFormat="1" applyFill="1" applyBorder="1"/>
    <xf numFmtId="0" fontId="0" fillId="0" borderId="5" xfId="0" applyFont="1" applyFill="1" applyBorder="1"/>
    <xf numFmtId="0" fontId="0" fillId="0" borderId="7" xfId="0" applyFill="1" applyBorder="1"/>
    <xf numFmtId="0" fontId="0" fillId="0" borderId="1" xfId="0" applyFill="1" applyBorder="1"/>
    <xf numFmtId="0" fontId="0" fillId="0" borderId="2" xfId="0" applyFill="1" applyBorder="1"/>
    <xf numFmtId="0" fontId="0" fillId="0" borderId="3" xfId="0" quotePrefix="1" applyFill="1" applyBorder="1" applyAlignment="1">
      <alignment horizontal="center"/>
    </xf>
    <xf numFmtId="0" fontId="2" fillId="0" borderId="0" xfId="0" applyFont="1" applyFill="1"/>
    <xf numFmtId="165" fontId="0" fillId="0" borderId="12" xfId="0" applyNumberFormat="1" applyBorder="1"/>
    <xf numFmtId="168" fontId="0" fillId="0" borderId="0" xfId="7" applyNumberFormat="1" applyFont="1"/>
    <xf numFmtId="165" fontId="0" fillId="0" borderId="5" xfId="0" applyNumberFormat="1" applyFill="1" applyBorder="1"/>
    <xf numFmtId="0" fontId="2" fillId="0" borderId="5" xfId="0" applyFont="1" applyFill="1" applyBorder="1"/>
    <xf numFmtId="165" fontId="0" fillId="3" borderId="10" xfId="1" applyNumberFormat="1" applyFont="1" applyFill="1" applyBorder="1"/>
    <xf numFmtId="165" fontId="0" fillId="0" borderId="6" xfId="1" applyNumberFormat="1" applyFont="1" applyFill="1" applyBorder="1"/>
    <xf numFmtId="0" fontId="14" fillId="0" borderId="5" xfId="0" applyFont="1" applyFill="1" applyBorder="1"/>
    <xf numFmtId="165" fontId="14" fillId="0" borderId="10" xfId="1" applyNumberFormat="1" applyFont="1" applyFill="1" applyBorder="1"/>
    <xf numFmtId="0" fontId="0" fillId="0" borderId="0" xfId="0" quotePrefix="1" applyFill="1" applyBorder="1" applyAlignment="1">
      <alignment horizontal="center"/>
    </xf>
    <xf numFmtId="0" fontId="14" fillId="0" borderId="0" xfId="0" applyFont="1" applyFill="1" applyBorder="1"/>
    <xf numFmtId="165" fontId="0" fillId="4" borderId="5" xfId="1" applyNumberFormat="1" applyFont="1" applyFill="1" applyBorder="1"/>
    <xf numFmtId="165" fontId="0" fillId="4" borderId="12" xfId="1" applyNumberFormat="1" applyFont="1" applyFill="1" applyBorder="1"/>
    <xf numFmtId="165" fontId="0" fillId="2" borderId="9" xfId="1" applyNumberFormat="1" applyFont="1" applyFill="1" applyBorder="1"/>
    <xf numFmtId="165" fontId="0" fillId="4" borderId="9" xfId="1" applyNumberFormat="1" applyFont="1" applyFill="1" applyBorder="1"/>
    <xf numFmtId="165" fontId="0" fillId="4" borderId="11" xfId="1" applyNumberFormat="1" applyFont="1" applyFill="1" applyBorder="1"/>
    <xf numFmtId="165" fontId="0" fillId="4" borderId="10" xfId="1" applyNumberFormat="1" applyFont="1" applyFill="1" applyBorder="1"/>
    <xf numFmtId="165" fontId="0" fillId="4" borderId="16" xfId="1" applyNumberFormat="1" applyFont="1" applyFill="1" applyBorder="1"/>
    <xf numFmtId="0" fontId="14" fillId="0" borderId="0" xfId="0" applyFont="1" applyFill="1"/>
    <xf numFmtId="165" fontId="14" fillId="0" borderId="0" xfId="1" applyNumberFormat="1" applyFont="1" applyFill="1"/>
    <xf numFmtId="0" fontId="14" fillId="0" borderId="0" xfId="0" applyFont="1"/>
    <xf numFmtId="0" fontId="0" fillId="0" borderId="7" xfId="0" quotePrefix="1" applyFill="1" applyBorder="1"/>
    <xf numFmtId="9" fontId="0" fillId="0" borderId="0" xfId="7" applyFont="1"/>
    <xf numFmtId="165" fontId="4" fillId="0" borderId="10" xfId="1" applyNumberFormat="1" applyFont="1" applyFill="1" applyBorder="1" applyAlignment="1">
      <alignment horizontal="center"/>
    </xf>
    <xf numFmtId="165" fontId="2" fillId="0" borderId="12" xfId="1" applyNumberFormat="1" applyFont="1" applyFill="1" applyBorder="1"/>
    <xf numFmtId="165" fontId="0" fillId="0" borderId="3" xfId="1" applyNumberFormat="1" applyFont="1" applyFill="1" applyBorder="1"/>
    <xf numFmtId="0" fontId="15" fillId="0" borderId="0" xfId="0" applyFont="1" applyBorder="1"/>
    <xf numFmtId="0" fontId="8" fillId="0" borderId="0" xfId="0" applyFont="1" applyBorder="1"/>
    <xf numFmtId="0" fontId="5" fillId="0" borderId="13" xfId="0" applyFont="1" applyBorder="1"/>
    <xf numFmtId="0" fontId="6" fillId="0" borderId="13" xfId="0" applyFont="1" applyBorder="1"/>
    <xf numFmtId="164" fontId="0" fillId="0" borderId="9" xfId="1" applyFont="1" applyBorder="1"/>
    <xf numFmtId="0" fontId="5" fillId="0" borderId="0" xfId="0" applyFont="1" applyAlignment="1">
      <alignment horizontal="left" wrapText="1"/>
    </xf>
    <xf numFmtId="0" fontId="9" fillId="0" borderId="5" xfId="0" applyFont="1" applyFill="1" applyBorder="1"/>
    <xf numFmtId="165" fontId="0" fillId="0" borderId="12" xfId="0" applyNumberFormat="1" applyFill="1" applyBorder="1"/>
    <xf numFmtId="165" fontId="10" fillId="0" borderId="9" xfId="0" applyNumberFormat="1" applyFont="1" applyFill="1" applyBorder="1"/>
    <xf numFmtId="165" fontId="8" fillId="0" borderId="3" xfId="1" applyNumberFormat="1" applyFont="1" applyFill="1" applyBorder="1"/>
    <xf numFmtId="165" fontId="4" fillId="0" borderId="0" xfId="1" applyNumberFormat="1" applyFont="1"/>
    <xf numFmtId="0" fontId="5" fillId="0" borderId="0" xfId="0" applyFont="1" applyAlignment="1">
      <alignment horizontal="left" wrapText="1"/>
    </xf>
    <xf numFmtId="0" fontId="0" fillId="0" borderId="11" xfId="0" applyFill="1" applyBorder="1" applyAlignment="1">
      <alignment horizontal="center"/>
    </xf>
    <xf numFmtId="0" fontId="3" fillId="0" borderId="0" xfId="0" applyFont="1" applyFill="1"/>
    <xf numFmtId="0" fontId="0" fillId="0" borderId="0" xfId="0" applyFont="1" applyFill="1"/>
    <xf numFmtId="0" fontId="0" fillId="0" borderId="8" xfId="0" applyFill="1" applyBorder="1"/>
    <xf numFmtId="165" fontId="0" fillId="0" borderId="3" xfId="0" applyNumberFormat="1" applyFill="1" applyBorder="1"/>
    <xf numFmtId="0" fontId="0" fillId="0" borderId="13" xfId="0" applyFill="1" applyBorder="1"/>
    <xf numFmtId="0" fontId="0" fillId="0" borderId="14" xfId="0" applyFill="1" applyBorder="1"/>
    <xf numFmtId="165" fontId="0" fillId="0" borderId="14" xfId="0" applyNumberFormat="1" applyFill="1" applyBorder="1"/>
    <xf numFmtId="0" fontId="0" fillId="0" borderId="15" xfId="0" applyFill="1" applyBorder="1"/>
    <xf numFmtId="165" fontId="0" fillId="0" borderId="13" xfId="0" applyNumberFormat="1" applyFill="1" applyBorder="1"/>
    <xf numFmtId="0" fontId="16" fillId="4" borderId="0" xfId="0" applyFont="1" applyFill="1"/>
    <xf numFmtId="0" fontId="17" fillId="4" borderId="0" xfId="0" applyFont="1" applyFill="1"/>
    <xf numFmtId="165" fontId="18" fillId="4" borderId="0" xfId="1" applyNumberFormat="1" applyFont="1" applyFill="1" applyAlignment="1">
      <alignment horizontal="center"/>
    </xf>
    <xf numFmtId="0" fontId="16" fillId="4" borderId="0" xfId="0" applyFont="1" applyFill="1" applyAlignment="1">
      <alignment horizontal="center"/>
    </xf>
    <xf numFmtId="0" fontId="16" fillId="4" borderId="0" xfId="0" applyFont="1" applyFill="1" applyAlignment="1">
      <alignment horizontal="center" wrapText="1"/>
    </xf>
    <xf numFmtId="0" fontId="10" fillId="4" borderId="0" xfId="0" applyFont="1" applyFill="1"/>
    <xf numFmtId="0" fontId="17" fillId="4" borderId="11" xfId="0" applyFont="1" applyFill="1" applyBorder="1"/>
    <xf numFmtId="0" fontId="16" fillId="4" borderId="11" xfId="0" applyFont="1" applyFill="1" applyBorder="1" applyAlignment="1">
      <alignment horizontal="center"/>
    </xf>
    <xf numFmtId="165" fontId="20" fillId="4" borderId="11" xfId="1" applyNumberFormat="1" applyFont="1" applyFill="1" applyBorder="1" applyAlignment="1">
      <alignment horizontal="center"/>
    </xf>
    <xf numFmtId="165" fontId="20" fillId="4" borderId="0" xfId="1" applyNumberFormat="1" applyFont="1" applyFill="1" applyAlignment="1">
      <alignment horizontal="center"/>
    </xf>
    <xf numFmtId="0" fontId="19" fillId="4" borderId="0" xfId="0" applyFont="1" applyFill="1" applyAlignment="1">
      <alignment horizontal="center"/>
    </xf>
    <xf numFmtId="0" fontId="17" fillId="4" borderId="11" xfId="0" applyFont="1" applyFill="1" applyBorder="1" applyAlignment="1">
      <alignment horizontal="center"/>
    </xf>
    <xf numFmtId="164" fontId="21" fillId="4" borderId="0" xfId="5" applyFont="1" applyFill="1" applyBorder="1"/>
    <xf numFmtId="0" fontId="22" fillId="4" borderId="0" xfId="0" applyFont="1" applyFill="1" applyAlignment="1">
      <alignment horizontal="center"/>
    </xf>
    <xf numFmtId="0" fontId="17" fillId="4" borderId="10" xfId="0" applyFont="1" applyFill="1" applyBorder="1"/>
    <xf numFmtId="0" fontId="16" fillId="4" borderId="10" xfId="0" applyFont="1" applyFill="1" applyBorder="1"/>
    <xf numFmtId="165" fontId="18" fillId="4" borderId="10" xfId="1" applyNumberFormat="1" applyFont="1" applyFill="1" applyBorder="1" applyAlignment="1">
      <alignment horizontal="center"/>
    </xf>
    <xf numFmtId="0" fontId="16" fillId="4" borderId="10" xfId="0" applyFont="1" applyFill="1" applyBorder="1" applyAlignment="1">
      <alignment horizontal="center"/>
    </xf>
    <xf numFmtId="169" fontId="16" fillId="4" borderId="10" xfId="0" applyNumberFormat="1" applyFont="1" applyFill="1" applyBorder="1"/>
    <xf numFmtId="0" fontId="16" fillId="4" borderId="0" xfId="0" applyFont="1" applyFill="1" applyAlignment="1">
      <alignment horizontal="left"/>
    </xf>
    <xf numFmtId="0" fontId="16" fillId="4" borderId="10" xfId="0" applyFont="1" applyFill="1" applyBorder="1" applyAlignment="1">
      <alignment horizontal="left"/>
    </xf>
    <xf numFmtId="0" fontId="16" fillId="4" borderId="0" xfId="8" applyFont="1" applyFill="1" applyAlignment="1">
      <alignment horizontal="left"/>
    </xf>
    <xf numFmtId="169" fontId="16" fillId="4" borderId="10" xfId="8" applyNumberFormat="1" applyFont="1" applyFill="1" applyBorder="1" applyAlignment="1">
      <alignment horizontal="left"/>
    </xf>
    <xf numFmtId="0" fontId="16" fillId="4" borderId="10" xfId="8" applyFont="1" applyFill="1" applyBorder="1" applyAlignment="1">
      <alignment horizontal="left"/>
    </xf>
    <xf numFmtId="170" fontId="16" fillId="4" borderId="10" xfId="3" applyNumberFormat="1" applyFont="1" applyFill="1" applyBorder="1"/>
    <xf numFmtId="170" fontId="16" fillId="4" borderId="0" xfId="3" applyNumberFormat="1" applyFont="1" applyFill="1"/>
    <xf numFmtId="0" fontId="16" fillId="4" borderId="0" xfId="0" applyFont="1" applyFill="1" applyAlignment="1">
      <alignment horizontal="left" indent="1"/>
    </xf>
    <xf numFmtId="165" fontId="17" fillId="4" borderId="10" xfId="1" applyNumberFormat="1" applyFont="1" applyFill="1" applyBorder="1"/>
    <xf numFmtId="165" fontId="18" fillId="4" borderId="10" xfId="1" applyNumberFormat="1" applyFont="1" applyFill="1" applyBorder="1" applyAlignment="1">
      <alignment horizontal="right"/>
    </xf>
    <xf numFmtId="171" fontId="16" fillId="4" borderId="10" xfId="0" applyNumberFormat="1" applyFont="1" applyFill="1" applyBorder="1"/>
    <xf numFmtId="171" fontId="16" fillId="4" borderId="10" xfId="5" applyNumberFormat="1" applyFont="1" applyFill="1" applyBorder="1" applyAlignment="1"/>
    <xf numFmtId="165" fontId="18" fillId="4" borderId="0" xfId="1" applyNumberFormat="1" applyFont="1" applyFill="1" applyBorder="1" applyAlignment="1">
      <alignment horizontal="right"/>
    </xf>
    <xf numFmtId="171" fontId="16" fillId="4" borderId="0" xfId="0" applyNumberFormat="1" applyFont="1" applyFill="1"/>
    <xf numFmtId="171" fontId="16" fillId="4" borderId="10" xfId="5" applyNumberFormat="1" applyFont="1" applyFill="1" applyBorder="1" applyAlignment="1">
      <alignment horizontal="right"/>
    </xf>
    <xf numFmtId="165" fontId="16" fillId="4" borderId="0" xfId="5" applyNumberFormat="1" applyFont="1" applyFill="1" applyBorder="1"/>
    <xf numFmtId="171" fontId="10" fillId="4" borderId="0" xfId="0" applyNumberFormat="1" applyFont="1" applyFill="1"/>
    <xf numFmtId="169" fontId="17" fillId="4" borderId="0" xfId="0" applyNumberFormat="1" applyFont="1" applyFill="1"/>
    <xf numFmtId="164" fontId="17" fillId="4" borderId="0" xfId="5" applyFont="1" applyFill="1"/>
    <xf numFmtId="171" fontId="16" fillId="4" borderId="10" xfId="3" applyNumberFormat="1" applyFont="1" applyFill="1" applyBorder="1" applyAlignment="1">
      <alignment horizontal="right"/>
    </xf>
    <xf numFmtId="165" fontId="17" fillId="4" borderId="0" xfId="0" applyNumberFormat="1" applyFont="1" applyFill="1"/>
    <xf numFmtId="171" fontId="16" fillId="4" borderId="1" xfId="0" applyNumberFormat="1" applyFont="1" applyFill="1" applyBorder="1"/>
    <xf numFmtId="165" fontId="18" fillId="4" borderId="10" xfId="1" applyNumberFormat="1" applyFont="1" applyFill="1" applyBorder="1"/>
    <xf numFmtId="0" fontId="0" fillId="4" borderId="10" xfId="0" applyFill="1" applyBorder="1"/>
    <xf numFmtId="171" fontId="16" fillId="4" borderId="9" xfId="3" applyNumberFormat="1" applyFont="1" applyFill="1" applyBorder="1" applyAlignment="1"/>
    <xf numFmtId="165" fontId="18" fillId="4" borderId="0" xfId="1" applyNumberFormat="1" applyFont="1" applyFill="1" applyAlignment="1">
      <alignment horizontal="right"/>
    </xf>
    <xf numFmtId="172" fontId="16" fillId="4" borderId="10" xfId="5" applyNumberFormat="1" applyFont="1" applyFill="1" applyBorder="1" applyAlignment="1"/>
    <xf numFmtId="172" fontId="16" fillId="4" borderId="0" xfId="0" applyNumberFormat="1" applyFont="1" applyFill="1"/>
    <xf numFmtId="165" fontId="17" fillId="4" borderId="12" xfId="1" applyNumberFormat="1" applyFont="1" applyFill="1" applyBorder="1"/>
    <xf numFmtId="165" fontId="18" fillId="4" borderId="0" xfId="1" applyNumberFormat="1" applyFont="1" applyFill="1"/>
    <xf numFmtId="165" fontId="17" fillId="4" borderId="9" xfId="1" applyNumberFormat="1" applyFont="1" applyFill="1" applyBorder="1"/>
    <xf numFmtId="0" fontId="16" fillId="4" borderId="0" xfId="8" applyFont="1" applyFill="1"/>
    <xf numFmtId="171" fontId="16" fillId="4" borderId="9" xfId="3" applyNumberFormat="1" applyFont="1" applyFill="1" applyBorder="1" applyAlignment="1">
      <alignment horizontal="right"/>
    </xf>
    <xf numFmtId="171" fontId="16" fillId="4" borderId="11" xfId="3" applyNumberFormat="1" applyFont="1" applyFill="1" applyBorder="1" applyAlignment="1">
      <alignment horizontal="right"/>
    </xf>
    <xf numFmtId="172" fontId="16" fillId="4" borderId="10" xfId="0" applyNumberFormat="1" applyFont="1" applyFill="1" applyBorder="1"/>
    <xf numFmtId="0" fontId="16" fillId="4" borderId="0" xfId="8" applyFont="1" applyFill="1" applyAlignment="1">
      <alignment horizontal="left" indent="1"/>
    </xf>
    <xf numFmtId="171" fontId="16" fillId="4" borderId="10" xfId="3" applyNumberFormat="1" applyFont="1" applyFill="1" applyBorder="1"/>
    <xf numFmtId="170" fontId="17" fillId="4" borderId="0" xfId="0" applyNumberFormat="1" applyFont="1" applyFill="1"/>
    <xf numFmtId="169" fontId="16" fillId="4" borderId="0" xfId="3" applyNumberFormat="1" applyFont="1" applyFill="1"/>
    <xf numFmtId="170" fontId="16" fillId="4" borderId="0" xfId="3" applyNumberFormat="1" applyFont="1" applyFill="1" applyBorder="1"/>
    <xf numFmtId="171" fontId="16" fillId="4" borderId="12" xfId="5" applyNumberFormat="1" applyFont="1" applyFill="1" applyBorder="1" applyAlignment="1"/>
    <xf numFmtId="164" fontId="17" fillId="4" borderId="1" xfId="1" applyFont="1" applyFill="1" applyBorder="1"/>
    <xf numFmtId="171" fontId="16" fillId="4" borderId="10" xfId="3" applyNumberFormat="1" applyFont="1" applyFill="1" applyBorder="1" applyAlignment="1"/>
    <xf numFmtId="171" fontId="16" fillId="4" borderId="0" xfId="3" applyNumberFormat="1" applyFont="1" applyFill="1" applyBorder="1" applyAlignment="1"/>
    <xf numFmtId="164" fontId="17" fillId="4" borderId="12" xfId="1" applyFont="1" applyFill="1" applyBorder="1"/>
    <xf numFmtId="165" fontId="16" fillId="4" borderId="1" xfId="5" applyNumberFormat="1" applyFont="1" applyFill="1" applyBorder="1"/>
    <xf numFmtId="165" fontId="17" fillId="4" borderId="11" xfId="1" applyNumberFormat="1" applyFont="1" applyFill="1" applyBorder="1"/>
    <xf numFmtId="171" fontId="16" fillId="4" borderId="12" xfId="5" applyNumberFormat="1" applyFont="1" applyFill="1" applyBorder="1"/>
    <xf numFmtId="165" fontId="17" fillId="4" borderId="14" xfId="0" applyNumberFormat="1" applyFont="1" applyFill="1" applyBorder="1"/>
    <xf numFmtId="171" fontId="17" fillId="4" borderId="11" xfId="0" applyNumberFormat="1" applyFont="1" applyFill="1" applyBorder="1"/>
    <xf numFmtId="171" fontId="16" fillId="4" borderId="10" xfId="8" applyNumberFormat="1" applyFont="1" applyFill="1" applyBorder="1"/>
    <xf numFmtId="173" fontId="16" fillId="4" borderId="0" xfId="0" applyNumberFormat="1" applyFont="1" applyFill="1"/>
    <xf numFmtId="171" fontId="16" fillId="4" borderId="10" xfId="5" applyNumberFormat="1" applyFont="1" applyFill="1" applyBorder="1"/>
    <xf numFmtId="165" fontId="16" fillId="4" borderId="0" xfId="5" applyNumberFormat="1" applyFont="1" applyFill="1"/>
    <xf numFmtId="173" fontId="16" fillId="4" borderId="0" xfId="0" applyNumberFormat="1" applyFont="1" applyFill="1" applyAlignment="1">
      <alignment horizontal="center"/>
    </xf>
    <xf numFmtId="169" fontId="16" fillId="4" borderId="16" xfId="3" applyNumberFormat="1" applyFont="1" applyFill="1" applyBorder="1"/>
    <xf numFmtId="169" fontId="16" fillId="4" borderId="10" xfId="3" applyNumberFormat="1" applyFont="1" applyFill="1" applyBorder="1"/>
    <xf numFmtId="169" fontId="16" fillId="4" borderId="17" xfId="3" applyNumberFormat="1" applyFont="1" applyFill="1" applyBorder="1"/>
    <xf numFmtId="0" fontId="16" fillId="4" borderId="0" xfId="8" applyFont="1" applyFill="1" applyAlignment="1">
      <alignment wrapText="1"/>
    </xf>
    <xf numFmtId="0" fontId="17" fillId="4" borderId="12" xfId="0" applyFont="1" applyFill="1" applyBorder="1"/>
    <xf numFmtId="165" fontId="18" fillId="4" borderId="12" xfId="1" applyNumberFormat="1" applyFont="1" applyFill="1" applyBorder="1"/>
    <xf numFmtId="165" fontId="16" fillId="4" borderId="12" xfId="0" applyNumberFormat="1" applyFont="1" applyFill="1" applyBorder="1"/>
    <xf numFmtId="173" fontId="16" fillId="4" borderId="12" xfId="0" applyNumberFormat="1" applyFont="1" applyFill="1" applyBorder="1"/>
    <xf numFmtId="165" fontId="16" fillId="4" borderId="0" xfId="0" applyNumberFormat="1" applyFont="1" applyFill="1"/>
    <xf numFmtId="0" fontId="17" fillId="4" borderId="2" xfId="0" applyFont="1" applyFill="1" applyBorder="1"/>
    <xf numFmtId="0" fontId="17" fillId="4" borderId="9" xfId="0" applyFont="1" applyFill="1" applyBorder="1"/>
    <xf numFmtId="0" fontId="23" fillId="4" borderId="0" xfId="0" applyFont="1" applyFill="1"/>
    <xf numFmtId="165" fontId="18" fillId="4" borderId="0" xfId="1" applyNumberFormat="1" applyFont="1" applyFill="1" applyBorder="1" applyAlignment="1">
      <alignment horizontal="center"/>
    </xf>
    <xf numFmtId="173" fontId="16" fillId="4" borderId="2" xfId="0" applyNumberFormat="1" applyFont="1" applyFill="1" applyBorder="1"/>
    <xf numFmtId="173" fontId="16" fillId="4" borderId="5" xfId="0" applyNumberFormat="1" applyFont="1" applyFill="1" applyBorder="1"/>
    <xf numFmtId="165" fontId="16" fillId="4" borderId="0" xfId="1" applyNumberFormat="1" applyFont="1" applyFill="1" applyBorder="1"/>
    <xf numFmtId="0" fontId="17" fillId="4" borderId="5" xfId="0" applyFont="1" applyFill="1" applyBorder="1"/>
    <xf numFmtId="165" fontId="17" fillId="4" borderId="0" xfId="1" applyNumberFormat="1" applyFont="1" applyFill="1"/>
    <xf numFmtId="37" fontId="16" fillId="4" borderId="5" xfId="0" applyNumberFormat="1" applyFont="1" applyFill="1" applyBorder="1"/>
    <xf numFmtId="37" fontId="16" fillId="4" borderId="0" xfId="0" applyNumberFormat="1" applyFont="1" applyFill="1"/>
    <xf numFmtId="0" fontId="17" fillId="4" borderId="7" xfId="0" applyFont="1" applyFill="1" applyBorder="1"/>
    <xf numFmtId="165" fontId="23" fillId="4" borderId="0" xfId="1" applyNumberFormat="1" applyFont="1" applyFill="1"/>
    <xf numFmtId="173" fontId="16" fillId="4" borderId="13" xfId="0" applyNumberFormat="1" applyFont="1" applyFill="1" applyBorder="1"/>
    <xf numFmtId="37" fontId="16" fillId="4" borderId="9" xfId="0" applyNumberFormat="1" applyFont="1" applyFill="1" applyBorder="1"/>
    <xf numFmtId="37" fontId="16" fillId="4" borderId="12" xfId="0" applyNumberFormat="1" applyFont="1" applyFill="1" applyBorder="1"/>
    <xf numFmtId="173" fontId="16" fillId="4" borderId="11" xfId="0" applyNumberFormat="1" applyFont="1" applyFill="1" applyBorder="1"/>
    <xf numFmtId="165" fontId="17" fillId="4" borderId="11" xfId="0" applyNumberFormat="1" applyFont="1" applyFill="1" applyBorder="1"/>
    <xf numFmtId="165" fontId="17" fillId="4" borderId="0" xfId="1" applyNumberFormat="1" applyFont="1" applyFill="1" applyBorder="1"/>
    <xf numFmtId="165" fontId="17" fillId="4" borderId="12" xfId="0" applyNumberFormat="1" applyFont="1" applyFill="1" applyBorder="1"/>
    <xf numFmtId="165" fontId="17" fillId="4" borderId="10" xfId="0" applyNumberFormat="1" applyFont="1" applyFill="1" applyBorder="1"/>
    <xf numFmtId="0" fontId="0" fillId="4" borderId="0" xfId="0" applyFill="1"/>
    <xf numFmtId="165" fontId="0" fillId="4" borderId="0" xfId="0" applyNumberFormat="1" applyFill="1"/>
    <xf numFmtId="0" fontId="0" fillId="0" borderId="0" xfId="0" applyFont="1" applyBorder="1"/>
    <xf numFmtId="0" fontId="5" fillId="0" borderId="0" xfId="0" applyFont="1" applyAlignment="1">
      <alignment horizontal="left" wrapText="1"/>
    </xf>
    <xf numFmtId="0" fontId="10" fillId="0" borderId="0" xfId="0" applyFont="1" applyAlignment="1">
      <alignment horizontal="left" wrapText="1"/>
    </xf>
    <xf numFmtId="0" fontId="10" fillId="0" borderId="6" xfId="0" applyFont="1"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0" fillId="0" borderId="5" xfId="0" applyFont="1" applyBorder="1" applyAlignment="1">
      <alignment horizontal="left" wrapText="1"/>
    </xf>
    <xf numFmtId="0" fontId="0" fillId="0" borderId="0" xfId="0" applyFont="1" applyBorder="1" applyAlignment="1">
      <alignment horizontal="left" wrapText="1"/>
    </xf>
    <xf numFmtId="0" fontId="0" fillId="0" borderId="6" xfId="0" applyFont="1" applyBorder="1" applyAlignment="1">
      <alignment horizontal="left" wrapText="1"/>
    </xf>
    <xf numFmtId="0" fontId="15" fillId="0" borderId="0" xfId="0" applyFont="1" applyBorder="1" applyAlignment="1">
      <alignment horizontal="left" wrapText="1"/>
    </xf>
    <xf numFmtId="0" fontId="15" fillId="0" borderId="6" xfId="0" applyFont="1" applyBorder="1" applyAlignment="1">
      <alignment horizontal="left" wrapText="1"/>
    </xf>
    <xf numFmtId="0" fontId="0" fillId="0" borderId="0" xfId="0" applyBorder="1" applyAlignment="1">
      <alignment horizontal="left"/>
    </xf>
    <xf numFmtId="0" fontId="0" fillId="0" borderId="6" xfId="0" applyBorder="1" applyAlignment="1">
      <alignment horizontal="left"/>
    </xf>
    <xf numFmtId="0" fontId="8" fillId="0" borderId="5" xfId="0" applyFont="1" applyFill="1" applyBorder="1" applyAlignment="1">
      <alignment horizontal="left" wrapText="1"/>
    </xf>
    <xf numFmtId="0" fontId="8" fillId="0" borderId="0" xfId="0" applyFont="1" applyFill="1" applyBorder="1" applyAlignment="1">
      <alignment horizontal="left" wrapText="1"/>
    </xf>
    <xf numFmtId="0" fontId="8" fillId="0" borderId="6" xfId="0" applyFont="1" applyFill="1" applyBorder="1" applyAlignment="1">
      <alignment horizontal="left" wrapText="1"/>
    </xf>
    <xf numFmtId="0" fontId="10" fillId="0" borderId="5" xfId="0" applyFont="1" applyFill="1" applyBorder="1" applyAlignment="1">
      <alignment horizontal="left" wrapText="1"/>
    </xf>
    <xf numFmtId="0" fontId="10" fillId="0" borderId="0" xfId="0" applyFont="1" applyFill="1" applyBorder="1" applyAlignment="1">
      <alignment horizontal="left" wrapText="1"/>
    </xf>
    <xf numFmtId="0" fontId="10" fillId="0" borderId="6" xfId="0" applyFont="1" applyFill="1" applyBorder="1" applyAlignment="1">
      <alignment horizontal="left" wrapText="1"/>
    </xf>
    <xf numFmtId="0" fontId="0" fillId="0" borderId="5" xfId="0" applyFill="1" applyBorder="1" applyAlignment="1">
      <alignment horizontal="left"/>
    </xf>
    <xf numFmtId="0" fontId="0" fillId="0" borderId="0" xfId="0" applyFill="1" applyBorder="1" applyAlignment="1">
      <alignment horizontal="left"/>
    </xf>
    <xf numFmtId="0" fontId="0" fillId="0" borderId="6" xfId="0" applyFill="1" applyBorder="1" applyAlignment="1">
      <alignment horizontal="left"/>
    </xf>
    <xf numFmtId="165" fontId="0" fillId="0" borderId="3" xfId="1" applyNumberFormat="1" applyFont="1" applyFill="1" applyBorder="1" applyAlignment="1">
      <alignment horizontal="center"/>
    </xf>
    <xf numFmtId="165" fontId="0" fillId="0" borderId="0" xfId="1" applyNumberFormat="1" applyFont="1" applyFill="1" applyAlignment="1">
      <alignment horizontal="center"/>
    </xf>
    <xf numFmtId="0" fontId="0" fillId="0" borderId="11" xfId="0" applyFill="1" applyBorder="1" applyAlignment="1">
      <alignment horizontal="center"/>
    </xf>
    <xf numFmtId="0" fontId="0" fillId="0" borderId="5" xfId="0" applyFill="1" applyBorder="1" applyAlignment="1">
      <alignment horizontal="left" wrapText="1"/>
    </xf>
    <xf numFmtId="0" fontId="0" fillId="0" borderId="0" xfId="0" applyFill="1" applyBorder="1" applyAlignment="1">
      <alignment horizontal="left" wrapText="1"/>
    </xf>
    <xf numFmtId="0" fontId="0" fillId="0" borderId="1" xfId="0" applyFill="1" applyBorder="1" applyAlignment="1">
      <alignment horizontal="center"/>
    </xf>
    <xf numFmtId="0" fontId="0" fillId="0" borderId="8" xfId="0" applyFill="1" applyBorder="1" applyAlignment="1">
      <alignment horizontal="center"/>
    </xf>
    <xf numFmtId="0" fontId="0" fillId="2" borderId="1" xfId="0" applyFill="1" applyBorder="1" applyAlignment="1">
      <alignment horizontal="left" vertical="center" wrapText="1"/>
    </xf>
    <xf numFmtId="0" fontId="0" fillId="2" borderId="8" xfId="0" applyFill="1" applyBorder="1" applyAlignment="1">
      <alignment horizontal="left" vertic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165" fontId="24" fillId="0" borderId="0" xfId="1" applyNumberFormat="1" applyFont="1"/>
    <xf numFmtId="165" fontId="17" fillId="0" borderId="10" xfId="1" applyNumberFormat="1" applyFont="1" applyFill="1" applyBorder="1"/>
    <xf numFmtId="1" fontId="2" fillId="0" borderId="11" xfId="1" applyNumberFormat="1" applyFont="1" applyFill="1" applyBorder="1"/>
  </cellXfs>
  <cellStyles count="9">
    <cellStyle name="Comma" xfId="1" builtinId="3"/>
    <cellStyle name="Comma 2" xfId="3" xr:uid="{00000000-0005-0000-0000-000000000000}"/>
    <cellStyle name="Hyperlink" xfId="2" builtinId="8"/>
    <cellStyle name="Millares 10" xfId="5" xr:uid="{00000000-0005-0000-0000-000003000000}"/>
    <cellStyle name="Millares 11" xfId="4" xr:uid="{00000000-0005-0000-0000-000004000000}"/>
    <cellStyle name="Normal" xfId="0" builtinId="0"/>
    <cellStyle name="Normal 2 10" xfId="8" xr:uid="{1361E875-323E-44E5-94D7-21C069AD66A6}"/>
    <cellStyle name="Normal 4" xfId="6" xr:uid="{00000000-0005-0000-0000-000006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20Almeida/Documents/CPAlmeida/CLIENTES/Telconet%202019/Consolidado%20Telconet%20&amp;%20subsidiarias%202019/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workbookViewId="0">
      <selection activeCell="C12" sqref="C12"/>
    </sheetView>
  </sheetViews>
  <sheetFormatPr defaultColWidth="9.140625" defaultRowHeight="15" x14ac:dyDescent="0.25"/>
  <cols>
    <col min="2" max="2" width="2.5703125" bestFit="1" customWidth="1"/>
    <col min="3" max="3" width="59" bestFit="1" customWidth="1"/>
  </cols>
  <sheetData>
    <row r="3" spans="2:3" x14ac:dyDescent="0.25">
      <c r="B3" t="s">
        <v>239</v>
      </c>
      <c r="C3" s="85" t="s">
        <v>141</v>
      </c>
    </row>
    <row r="4" spans="2:3" x14ac:dyDescent="0.25">
      <c r="B4" t="s">
        <v>243</v>
      </c>
      <c r="C4" s="85" t="s">
        <v>240</v>
      </c>
    </row>
    <row r="5" spans="2:3" x14ac:dyDescent="0.25">
      <c r="B5" t="s">
        <v>244</v>
      </c>
      <c r="C5" s="85" t="s">
        <v>241</v>
      </c>
    </row>
    <row r="6" spans="2:3" x14ac:dyDescent="0.25">
      <c r="B6" t="s">
        <v>245</v>
      </c>
      <c r="C6" s="85" t="s">
        <v>242</v>
      </c>
    </row>
    <row r="7" spans="2:3" x14ac:dyDescent="0.25">
      <c r="B7" t="s">
        <v>246</v>
      </c>
      <c r="C7" s="85" t="s">
        <v>247</v>
      </c>
    </row>
    <row r="8" spans="2:3" x14ac:dyDescent="0.25">
      <c r="B8" t="s">
        <v>248</v>
      </c>
      <c r="C8" s="85" t="s">
        <v>249</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32"/>
  <sheetViews>
    <sheetView topLeftCell="A4" workbookViewId="0">
      <selection activeCell="D20" sqref="D20"/>
    </sheetView>
  </sheetViews>
  <sheetFormatPr defaultColWidth="11.42578125" defaultRowHeight="15" x14ac:dyDescent="0.25"/>
  <cols>
    <col min="3" max="3" width="11.5703125" bestFit="1" customWidth="1"/>
    <col min="7" max="7" width="12.7109375" bestFit="1" customWidth="1"/>
    <col min="8" max="8" width="12.5703125" bestFit="1" customWidth="1"/>
    <col min="9" max="9" width="12.7109375" bestFit="1" customWidth="1"/>
    <col min="10" max="10" width="12.5703125" bestFit="1" customWidth="1"/>
  </cols>
  <sheetData>
    <row r="2" spans="2:10" x14ac:dyDescent="0.25">
      <c r="B2" t="s">
        <v>205</v>
      </c>
    </row>
    <row r="4" spans="2:10" x14ac:dyDescent="0.25">
      <c r="C4" s="320" t="s">
        <v>218</v>
      </c>
      <c r="D4" s="320"/>
      <c r="E4" s="320"/>
      <c r="F4" s="72" t="s">
        <v>219</v>
      </c>
      <c r="H4" t="s">
        <v>220</v>
      </c>
    </row>
    <row r="5" spans="2:10" x14ac:dyDescent="0.25">
      <c r="C5">
        <v>2016</v>
      </c>
      <c r="D5">
        <v>2015</v>
      </c>
      <c r="E5">
        <v>2014</v>
      </c>
      <c r="F5" s="72">
        <v>0.33329999999999999</v>
      </c>
      <c r="G5" t="s">
        <v>222</v>
      </c>
      <c r="H5" t="s">
        <v>221</v>
      </c>
      <c r="I5" t="s">
        <v>223</v>
      </c>
      <c r="J5" s="72" t="s">
        <v>150</v>
      </c>
    </row>
    <row r="6" spans="2:10" x14ac:dyDescent="0.25">
      <c r="B6" t="s">
        <v>206</v>
      </c>
      <c r="C6" s="4"/>
      <c r="D6" s="4"/>
      <c r="E6" s="4"/>
      <c r="G6">
        <f>+O21</f>
        <v>0</v>
      </c>
    </row>
    <row r="7" spans="2:10" x14ac:dyDescent="0.25">
      <c r="B7" t="s">
        <v>207</v>
      </c>
      <c r="C7" s="4"/>
      <c r="D7" s="4"/>
      <c r="E7" s="4"/>
      <c r="G7">
        <f t="shared" ref="G7:G17" si="0">+O22</f>
        <v>0</v>
      </c>
    </row>
    <row r="8" spans="2:10" x14ac:dyDescent="0.25">
      <c r="B8" t="s">
        <v>208</v>
      </c>
      <c r="C8" s="4"/>
      <c r="D8" s="4"/>
      <c r="E8" s="4"/>
      <c r="G8">
        <f t="shared" si="0"/>
        <v>0</v>
      </c>
    </row>
    <row r="9" spans="2:10" x14ac:dyDescent="0.25">
      <c r="B9" t="s">
        <v>209</v>
      </c>
      <c r="C9" s="4"/>
      <c r="D9" s="4"/>
      <c r="E9" s="4"/>
      <c r="G9">
        <f t="shared" si="0"/>
        <v>0</v>
      </c>
    </row>
    <row r="10" spans="2:10" x14ac:dyDescent="0.25">
      <c r="B10" t="s">
        <v>210</v>
      </c>
      <c r="C10" s="4"/>
      <c r="D10" s="4"/>
      <c r="E10" s="4"/>
      <c r="G10">
        <f t="shared" si="0"/>
        <v>0</v>
      </c>
    </row>
    <row r="11" spans="2:10" x14ac:dyDescent="0.25">
      <c r="B11" t="s">
        <v>211</v>
      </c>
      <c r="C11" s="4"/>
      <c r="D11" s="4"/>
      <c r="E11" s="4"/>
      <c r="G11">
        <f t="shared" si="0"/>
        <v>0</v>
      </c>
    </row>
    <row r="12" spans="2:10" x14ac:dyDescent="0.25">
      <c r="B12" t="s">
        <v>212</v>
      </c>
      <c r="C12" s="4"/>
      <c r="D12" s="4"/>
      <c r="E12" s="4"/>
      <c r="G12">
        <f t="shared" si="0"/>
        <v>0</v>
      </c>
    </row>
    <row r="13" spans="2:10" x14ac:dyDescent="0.25">
      <c r="B13" t="s">
        <v>213</v>
      </c>
      <c r="C13" s="4"/>
      <c r="D13" s="4"/>
      <c r="E13" s="4"/>
      <c r="G13">
        <f t="shared" si="0"/>
        <v>0</v>
      </c>
    </row>
    <row r="14" spans="2:10" x14ac:dyDescent="0.25">
      <c r="B14" t="s">
        <v>214</v>
      </c>
      <c r="C14" s="4"/>
      <c r="D14" s="4"/>
      <c r="E14" s="4"/>
      <c r="G14">
        <f t="shared" si="0"/>
        <v>0</v>
      </c>
    </row>
    <row r="15" spans="2:10" x14ac:dyDescent="0.25">
      <c r="B15" t="s">
        <v>215</v>
      </c>
      <c r="C15" s="4"/>
      <c r="D15" s="4"/>
      <c r="E15" s="4"/>
      <c r="G15">
        <f t="shared" si="0"/>
        <v>0</v>
      </c>
    </row>
    <row r="16" spans="2:10" x14ac:dyDescent="0.25">
      <c r="B16" t="s">
        <v>216</v>
      </c>
      <c r="C16" s="4"/>
      <c r="D16" s="4"/>
      <c r="E16" s="4"/>
      <c r="G16">
        <f t="shared" si="0"/>
        <v>0</v>
      </c>
    </row>
    <row r="17" spans="2:15" x14ac:dyDescent="0.25">
      <c r="B17" t="s">
        <v>217</v>
      </c>
      <c r="C17" s="4"/>
      <c r="D17" s="4"/>
      <c r="E17" s="4"/>
      <c r="G17">
        <f t="shared" si="0"/>
        <v>0</v>
      </c>
    </row>
    <row r="18" spans="2:15" x14ac:dyDescent="0.25">
      <c r="B18" t="s">
        <v>149</v>
      </c>
      <c r="C18" s="4">
        <v>15846166</v>
      </c>
      <c r="D18" s="4">
        <v>5700370</v>
      </c>
      <c r="E18" s="4">
        <v>1475332</v>
      </c>
      <c r="G18" s="71">
        <f>3922517-2391661</f>
        <v>1530856</v>
      </c>
      <c r="H18" s="4">
        <f>+D18*F5</f>
        <v>1899933.321</v>
      </c>
      <c r="I18" s="4">
        <f>+E18*F5</f>
        <v>491728.1556</v>
      </c>
      <c r="J18" s="4">
        <f>SUM(G18:I18)</f>
        <v>3922517.4766000002</v>
      </c>
    </row>
    <row r="19" spans="2:15" x14ac:dyDescent="0.25">
      <c r="G19" s="35"/>
      <c r="J19" s="4"/>
    </row>
    <row r="20" spans="2:15" x14ac:dyDescent="0.25">
      <c r="C20" t="s">
        <v>206</v>
      </c>
      <c r="D20" t="s">
        <v>207</v>
      </c>
      <c r="E20" t="s">
        <v>208</v>
      </c>
      <c r="F20" t="s">
        <v>209</v>
      </c>
      <c r="G20" t="s">
        <v>210</v>
      </c>
      <c r="H20" t="s">
        <v>211</v>
      </c>
      <c r="I20" t="s">
        <v>212</v>
      </c>
      <c r="J20" t="s">
        <v>213</v>
      </c>
      <c r="K20" t="s">
        <v>214</v>
      </c>
      <c r="L20" t="s">
        <v>215</v>
      </c>
      <c r="M20" t="s">
        <v>216</v>
      </c>
      <c r="N20" t="s">
        <v>217</v>
      </c>
      <c r="O20" t="s">
        <v>149</v>
      </c>
    </row>
    <row r="21" spans="2:15" x14ac:dyDescent="0.25">
      <c r="B21" t="s">
        <v>206</v>
      </c>
      <c r="C21">
        <v>0</v>
      </c>
      <c r="D21">
        <f>(+$C$6*$F$5)/12</f>
        <v>0</v>
      </c>
      <c r="E21">
        <f t="shared" ref="E21:N21" si="1">(+$C$6*$F$5)/12</f>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207</v>
      </c>
    </row>
    <row r="23" spans="2:15" x14ac:dyDescent="0.25">
      <c r="B23" t="s">
        <v>208</v>
      </c>
    </row>
    <row r="24" spans="2:15" x14ac:dyDescent="0.25">
      <c r="B24" t="s">
        <v>209</v>
      </c>
    </row>
    <row r="25" spans="2:15" x14ac:dyDescent="0.25">
      <c r="B25" t="s">
        <v>210</v>
      </c>
    </row>
    <row r="26" spans="2:15" x14ac:dyDescent="0.25">
      <c r="B26" t="s">
        <v>211</v>
      </c>
    </row>
    <row r="27" spans="2:15" x14ac:dyDescent="0.25">
      <c r="B27" t="s">
        <v>212</v>
      </c>
    </row>
    <row r="28" spans="2:15" x14ac:dyDescent="0.25">
      <c r="B28" t="s">
        <v>213</v>
      </c>
    </row>
    <row r="29" spans="2:15" x14ac:dyDescent="0.25">
      <c r="B29" t="s">
        <v>214</v>
      </c>
    </row>
    <row r="30" spans="2:15" x14ac:dyDescent="0.25">
      <c r="B30" t="s">
        <v>215</v>
      </c>
    </row>
    <row r="31" spans="2:15" x14ac:dyDescent="0.25">
      <c r="B31" t="s">
        <v>216</v>
      </c>
    </row>
    <row r="32" spans="2:15" x14ac:dyDescent="0.25">
      <c r="B32" t="s">
        <v>217</v>
      </c>
    </row>
  </sheetData>
  <mergeCells count="1">
    <mergeCell ref="C4:E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E5"/>
  <sheetViews>
    <sheetView workbookViewId="0">
      <selection activeCell="E9" sqref="E9"/>
    </sheetView>
  </sheetViews>
  <sheetFormatPr defaultColWidth="11.42578125" defaultRowHeight="15" x14ac:dyDescent="0.25"/>
  <cols>
    <col min="5" max="5" width="11.5703125" bestFit="1" customWidth="1"/>
  </cols>
  <sheetData>
    <row r="3" spans="2:5" x14ac:dyDescent="0.25">
      <c r="B3" t="s">
        <v>236</v>
      </c>
      <c r="E3" s="4">
        <f>+'PP&amp;E'!E18</f>
        <v>1475332</v>
      </c>
    </row>
    <row r="4" spans="2:5" x14ac:dyDescent="0.25">
      <c r="B4" t="s">
        <v>237</v>
      </c>
      <c r="E4" s="4">
        <f>+'PP&amp;E'!D18</f>
        <v>5700370</v>
      </c>
    </row>
    <row r="5" spans="2:5" x14ac:dyDescent="0.25">
      <c r="B5" t="s">
        <v>238</v>
      </c>
      <c r="E5" s="4">
        <f>+'PP&amp;E'!C18</f>
        <v>15846166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A1:U79"/>
  <sheetViews>
    <sheetView zoomScaleNormal="100" workbookViewId="0">
      <pane xSplit="3" ySplit="5" topLeftCell="D37" activePane="bottomRight" state="frozen"/>
      <selection pane="topRight" activeCell="F1" sqref="F1"/>
      <selection pane="bottomLeft" activeCell="A6" sqref="A6"/>
      <selection pane="bottomRight" activeCell="I39" sqref="I39:I40"/>
    </sheetView>
  </sheetViews>
  <sheetFormatPr defaultColWidth="11.42578125" defaultRowHeight="15" x14ac:dyDescent="0.25"/>
  <cols>
    <col min="1" max="1" width="2.85546875" customWidth="1"/>
    <col min="3" max="3" width="30.5703125" customWidth="1"/>
    <col min="4" max="4" width="9" bestFit="1" customWidth="1"/>
    <col min="5" max="5" width="12.5703125" bestFit="1" customWidth="1"/>
    <col min="6" max="6" width="11.85546875" customWidth="1"/>
    <col min="7" max="7" width="12.5703125" bestFit="1" customWidth="1"/>
    <col min="8" max="8" width="14.140625" bestFit="1" customWidth="1"/>
    <col min="9" max="9" width="12.5703125" bestFit="1" customWidth="1"/>
    <col min="10" max="10" width="1.42578125" customWidth="1"/>
    <col min="11" max="11" width="13.28515625" customWidth="1"/>
    <col min="12" max="12" width="12.140625" bestFit="1" customWidth="1"/>
    <col min="13" max="13" width="12.85546875" customWidth="1"/>
    <col min="14" max="14" width="14" bestFit="1" customWidth="1"/>
    <col min="15" max="15" width="13.42578125" bestFit="1" customWidth="1"/>
    <col min="16" max="16" width="2.7109375" hidden="1" customWidth="1"/>
    <col min="17" max="19" width="12.28515625" style="4" hidden="1" customWidth="1"/>
    <col min="20" max="20" width="12.7109375" style="4" hidden="1" customWidth="1"/>
    <col min="21" max="21" width="12.28515625" style="4" hidden="1" customWidth="1"/>
    <col min="22" max="22" width="2.7109375" customWidth="1"/>
  </cols>
  <sheetData>
    <row r="1" spans="1:21" x14ac:dyDescent="0.25">
      <c r="A1" s="2" t="s">
        <v>0</v>
      </c>
    </row>
    <row r="2" spans="1:21" x14ac:dyDescent="0.25">
      <c r="A2" s="1" t="s">
        <v>141</v>
      </c>
    </row>
    <row r="3" spans="1:21" x14ac:dyDescent="0.25">
      <c r="A3" s="1" t="s">
        <v>339</v>
      </c>
      <c r="E3" s="61"/>
      <c r="F3" s="22"/>
      <c r="G3" s="59"/>
      <c r="H3" s="61"/>
      <c r="I3" s="22"/>
      <c r="K3" s="61"/>
      <c r="L3" s="22"/>
      <c r="M3" s="59"/>
      <c r="N3" s="61"/>
      <c r="O3" s="22"/>
      <c r="Q3" s="61"/>
      <c r="R3" s="22"/>
      <c r="S3" s="59"/>
      <c r="T3" s="61"/>
      <c r="U3" s="22"/>
    </row>
    <row r="4" spans="1:21" x14ac:dyDescent="0.25">
      <c r="A4" s="3" t="s">
        <v>17</v>
      </c>
      <c r="E4" s="55"/>
      <c r="F4" s="19"/>
      <c r="G4" s="57"/>
      <c r="H4" s="62" t="s">
        <v>50</v>
      </c>
      <c r="I4" s="66">
        <v>2019</v>
      </c>
      <c r="K4" s="55"/>
      <c r="L4" s="19"/>
      <c r="M4" s="57"/>
      <c r="N4" s="62" t="s">
        <v>50</v>
      </c>
      <c r="O4" s="66">
        <v>2018</v>
      </c>
      <c r="Q4" s="55"/>
      <c r="R4" s="19"/>
      <c r="S4" s="57"/>
      <c r="T4" s="62" t="s">
        <v>50</v>
      </c>
      <c r="U4" s="66">
        <v>2017</v>
      </c>
    </row>
    <row r="5" spans="1:21" x14ac:dyDescent="0.25">
      <c r="E5" s="63" t="s">
        <v>14</v>
      </c>
      <c r="F5" s="23" t="s">
        <v>15</v>
      </c>
      <c r="G5" s="64" t="s">
        <v>16</v>
      </c>
      <c r="H5" s="65" t="s">
        <v>145</v>
      </c>
      <c r="I5" s="23" t="s">
        <v>144</v>
      </c>
      <c r="K5" s="63" t="s">
        <v>14</v>
      </c>
      <c r="L5" s="23" t="s">
        <v>15</v>
      </c>
      <c r="M5" s="64" t="s">
        <v>16</v>
      </c>
      <c r="N5" s="65" t="s">
        <v>145</v>
      </c>
      <c r="O5" s="23" t="s">
        <v>144</v>
      </c>
      <c r="Q5" s="63" t="s">
        <v>14</v>
      </c>
      <c r="R5" s="23" t="s">
        <v>15</v>
      </c>
      <c r="S5" s="64" t="s">
        <v>16</v>
      </c>
      <c r="T5" s="65" t="s">
        <v>145</v>
      </c>
      <c r="U5" s="23" t="s">
        <v>144</v>
      </c>
    </row>
    <row r="6" spans="1:21" x14ac:dyDescent="0.25">
      <c r="C6" t="s">
        <v>1</v>
      </c>
      <c r="E6" s="14"/>
      <c r="F6" s="14"/>
      <c r="G6" s="14"/>
      <c r="H6" s="14"/>
      <c r="I6" s="14"/>
      <c r="K6" s="14"/>
      <c r="L6" s="14"/>
      <c r="M6" s="14"/>
      <c r="N6" s="14"/>
      <c r="O6" s="14"/>
      <c r="Q6" s="55"/>
      <c r="R6" s="22"/>
      <c r="S6" s="57"/>
      <c r="T6" s="55"/>
      <c r="U6" s="19"/>
    </row>
    <row r="7" spans="1:21" x14ac:dyDescent="0.25">
      <c r="A7" s="1" t="s">
        <v>2</v>
      </c>
      <c r="E7" s="55"/>
      <c r="F7" s="15"/>
      <c r="G7" s="15"/>
      <c r="H7" s="15"/>
      <c r="I7" s="15"/>
      <c r="K7" s="55"/>
      <c r="L7" s="15"/>
      <c r="M7" s="15"/>
      <c r="N7" s="15"/>
      <c r="O7" s="15"/>
      <c r="Q7" s="55"/>
      <c r="R7" s="19"/>
      <c r="S7" s="57"/>
      <c r="T7" s="55"/>
      <c r="U7" s="19"/>
    </row>
    <row r="8" spans="1:21" x14ac:dyDescent="0.25">
      <c r="B8" t="s">
        <v>3</v>
      </c>
      <c r="E8" s="55">
        <v>5683172</v>
      </c>
      <c r="F8" s="55">
        <v>1956404</v>
      </c>
      <c r="G8" s="19">
        <f t="shared" ref="G8:G10" si="0">+E8+F8</f>
        <v>7639576</v>
      </c>
      <c r="H8" s="15"/>
      <c r="I8" s="36">
        <f t="shared" ref="I8:I12" si="1">+G8+H8</f>
        <v>7639576</v>
      </c>
      <c r="K8" s="55">
        <v>579547</v>
      </c>
      <c r="L8" s="55">
        <v>7367583</v>
      </c>
      <c r="M8" s="19">
        <f t="shared" ref="M8:M17" si="2">+K8+L8</f>
        <v>7947130</v>
      </c>
      <c r="N8" s="15"/>
      <c r="O8" s="19">
        <f>+M8+N8</f>
        <v>7947130</v>
      </c>
      <c r="Q8" s="55">
        <v>1607132</v>
      </c>
      <c r="R8" s="19">
        <v>585324</v>
      </c>
      <c r="S8" s="4">
        <f>Q8+R8</f>
        <v>2192456</v>
      </c>
      <c r="T8" s="55"/>
      <c r="U8" s="19">
        <f>+S8+T8</f>
        <v>2192456</v>
      </c>
    </row>
    <row r="9" spans="1:21" x14ac:dyDescent="0.25">
      <c r="B9" t="s">
        <v>4</v>
      </c>
      <c r="E9" s="55">
        <v>11919</v>
      </c>
      <c r="F9" s="55"/>
      <c r="G9" s="19">
        <f t="shared" si="0"/>
        <v>11919</v>
      </c>
      <c r="H9" s="15"/>
      <c r="I9" s="36">
        <f t="shared" si="1"/>
        <v>11919</v>
      </c>
      <c r="K9" s="55">
        <v>72811</v>
      </c>
      <c r="L9" s="55">
        <v>205582</v>
      </c>
      <c r="M9" s="19">
        <f t="shared" si="2"/>
        <v>278393</v>
      </c>
      <c r="N9" s="15"/>
      <c r="O9" s="19">
        <f t="shared" ref="O9:O17" si="3">+M9+N9</f>
        <v>278393</v>
      </c>
      <c r="Q9" s="55">
        <v>102620</v>
      </c>
      <c r="R9" s="15"/>
      <c r="S9" s="4">
        <f t="shared" ref="S9:S18" si="4">Q9+R9</f>
        <v>102620</v>
      </c>
      <c r="T9" s="55"/>
      <c r="U9" s="19">
        <f>+S9+T9</f>
        <v>102620</v>
      </c>
    </row>
    <row r="10" spans="1:21" x14ac:dyDescent="0.25">
      <c r="B10" t="s">
        <v>5</v>
      </c>
      <c r="E10" s="55">
        <v>3358789</v>
      </c>
      <c r="F10" s="55"/>
      <c r="G10" s="19">
        <f t="shared" si="0"/>
        <v>3358789</v>
      </c>
      <c r="H10" s="15"/>
      <c r="I10" s="36">
        <f t="shared" si="1"/>
        <v>3358789</v>
      </c>
      <c r="K10" s="55">
        <v>2393444.3199999998</v>
      </c>
      <c r="L10" s="55">
        <v>0</v>
      </c>
      <c r="M10" s="19">
        <f t="shared" si="2"/>
        <v>2393444.3199999998</v>
      </c>
      <c r="N10" s="15"/>
      <c r="O10" s="19">
        <f t="shared" si="3"/>
        <v>2393444.3199999998</v>
      </c>
      <c r="Q10" s="55">
        <v>2644455</v>
      </c>
      <c r="R10" s="15"/>
      <c r="S10" s="4">
        <f t="shared" si="4"/>
        <v>2644455</v>
      </c>
      <c r="T10" s="55"/>
      <c r="U10" s="19">
        <f>+S10+T10</f>
        <v>2644455</v>
      </c>
    </row>
    <row r="11" spans="1:21" x14ac:dyDescent="0.25">
      <c r="B11" t="s">
        <v>6</v>
      </c>
      <c r="E11" s="55"/>
      <c r="F11" s="55"/>
      <c r="G11" s="19"/>
      <c r="H11" s="15"/>
      <c r="I11" s="36">
        <f t="shared" si="1"/>
        <v>0</v>
      </c>
      <c r="K11" s="55"/>
      <c r="L11" s="55"/>
      <c r="M11" s="19"/>
      <c r="N11" s="15"/>
      <c r="O11" s="19"/>
      <c r="Q11" s="55"/>
      <c r="R11" s="15"/>
      <c r="S11" s="4">
        <f t="shared" si="4"/>
        <v>0</v>
      </c>
      <c r="T11" s="55"/>
      <c r="U11" s="19"/>
    </row>
    <row r="12" spans="1:21" x14ac:dyDescent="0.25">
      <c r="B12" t="s">
        <v>7</v>
      </c>
      <c r="E12" s="55">
        <v>10095277</v>
      </c>
      <c r="F12" s="55">
        <v>2517669</v>
      </c>
      <c r="G12" s="19">
        <f t="shared" ref="G12:G17" si="5">+E12+F12</f>
        <v>12612946</v>
      </c>
      <c r="H12" s="15"/>
      <c r="I12" s="36">
        <f t="shared" si="1"/>
        <v>12612946</v>
      </c>
      <c r="K12" s="55">
        <v>7451465</v>
      </c>
      <c r="L12" s="55">
        <v>1366582</v>
      </c>
      <c r="M12" s="19">
        <f t="shared" si="2"/>
        <v>8818047</v>
      </c>
      <c r="N12" s="15"/>
      <c r="O12" s="19">
        <f t="shared" si="3"/>
        <v>8818047</v>
      </c>
      <c r="Q12" s="55">
        <v>10565005</v>
      </c>
      <c r="R12" s="19">
        <v>1247603</v>
      </c>
      <c r="S12" s="4">
        <f t="shared" si="4"/>
        <v>11812608</v>
      </c>
      <c r="T12" s="55"/>
      <c r="U12" s="19">
        <f t="shared" ref="U12:U17" si="6">+S12+T12</f>
        <v>11812608</v>
      </c>
    </row>
    <row r="13" spans="1:21" x14ac:dyDescent="0.25">
      <c r="B13" t="s">
        <v>8</v>
      </c>
      <c r="E13" s="55">
        <v>41013343</v>
      </c>
      <c r="F13" s="55">
        <v>19912295</v>
      </c>
      <c r="G13" s="19">
        <f t="shared" si="5"/>
        <v>60925638</v>
      </c>
      <c r="H13" s="36">
        <f>-AD!H18-AD!H36</f>
        <v>-34305534</v>
      </c>
      <c r="I13" s="36">
        <f>+G13+H13</f>
        <v>26620104</v>
      </c>
      <c r="K13" s="55">
        <v>43714969</v>
      </c>
      <c r="L13" s="55">
        <v>10949927</v>
      </c>
      <c r="M13" s="19">
        <f t="shared" si="2"/>
        <v>54664896</v>
      </c>
      <c r="N13" s="36">
        <f>-AD!J18-AD!J36</f>
        <v>-21714706</v>
      </c>
      <c r="O13" s="19">
        <f t="shared" si="3"/>
        <v>32950190</v>
      </c>
      <c r="Q13" s="55">
        <v>32908556</v>
      </c>
      <c r="R13" s="19">
        <v>5055818</v>
      </c>
      <c r="S13" s="4">
        <f t="shared" si="4"/>
        <v>37964374</v>
      </c>
      <c r="T13" s="55">
        <f>-AD!L18-AD!L36</f>
        <v>-10306018</v>
      </c>
      <c r="U13" s="19">
        <f t="shared" si="6"/>
        <v>27658356</v>
      </c>
    </row>
    <row r="14" spans="1:21" x14ac:dyDescent="0.25">
      <c r="B14" t="s">
        <v>9</v>
      </c>
      <c r="E14" s="55">
        <v>16875125</v>
      </c>
      <c r="F14" s="55">
        <f>1181203+720</f>
        <v>1181923</v>
      </c>
      <c r="G14" s="19">
        <f t="shared" si="5"/>
        <v>18057048</v>
      </c>
      <c r="H14" s="15"/>
      <c r="I14" s="36">
        <f t="shared" ref="I14:I17" si="7">+G14+H14</f>
        <v>18057048</v>
      </c>
      <c r="K14" s="55">
        <v>4870336</v>
      </c>
      <c r="L14" s="55">
        <v>239551</v>
      </c>
      <c r="M14" s="19">
        <f t="shared" si="2"/>
        <v>5109887</v>
      </c>
      <c r="N14" s="15"/>
      <c r="O14" s="19">
        <f t="shared" si="3"/>
        <v>5109887</v>
      </c>
      <c r="Q14" s="55">
        <v>5481731</v>
      </c>
      <c r="R14" s="19">
        <v>156705</v>
      </c>
      <c r="S14" s="4">
        <f t="shared" si="4"/>
        <v>5638436</v>
      </c>
      <c r="T14" s="55"/>
      <c r="U14" s="19">
        <f t="shared" si="6"/>
        <v>5638436</v>
      </c>
    </row>
    <row r="15" spans="1:21" x14ac:dyDescent="0.25">
      <c r="B15" t="s">
        <v>10</v>
      </c>
      <c r="E15" s="55">
        <v>4638</v>
      </c>
      <c r="F15" s="55">
        <v>1969204</v>
      </c>
      <c r="G15" s="19">
        <f t="shared" si="5"/>
        <v>1973842</v>
      </c>
      <c r="H15" s="15"/>
      <c r="I15" s="36">
        <f t="shared" si="7"/>
        <v>1973842</v>
      </c>
      <c r="K15" s="55">
        <v>4638</v>
      </c>
      <c r="L15" s="55">
        <v>3683823</v>
      </c>
      <c r="M15" s="19">
        <f t="shared" si="2"/>
        <v>3688461</v>
      </c>
      <c r="N15" s="15"/>
      <c r="O15" s="19">
        <f t="shared" si="3"/>
        <v>3688461</v>
      </c>
      <c r="Q15" s="55">
        <v>480186</v>
      </c>
      <c r="R15" s="19">
        <v>1484699</v>
      </c>
      <c r="S15" s="4">
        <f t="shared" si="4"/>
        <v>1964885</v>
      </c>
      <c r="T15" s="55"/>
      <c r="U15" s="19">
        <f t="shared" si="6"/>
        <v>1964885</v>
      </c>
    </row>
    <row r="16" spans="1:21" x14ac:dyDescent="0.25">
      <c r="B16" t="s">
        <v>11</v>
      </c>
      <c r="E16" s="55">
        <v>747264</v>
      </c>
      <c r="F16" s="55"/>
      <c r="G16" s="19">
        <f t="shared" si="5"/>
        <v>747264</v>
      </c>
      <c r="H16" s="15"/>
      <c r="I16" s="36">
        <f t="shared" si="7"/>
        <v>747264</v>
      </c>
      <c r="K16" s="55">
        <v>501034</v>
      </c>
      <c r="L16" s="55">
        <v>0</v>
      </c>
      <c r="M16" s="19">
        <f t="shared" si="2"/>
        <v>501034</v>
      </c>
      <c r="N16" s="15"/>
      <c r="O16" s="19">
        <f t="shared" si="3"/>
        <v>501034</v>
      </c>
      <c r="Q16" s="55">
        <v>625964</v>
      </c>
      <c r="R16" s="15"/>
      <c r="S16" s="4">
        <f t="shared" si="4"/>
        <v>625964</v>
      </c>
      <c r="T16" s="47">
        <f>-AD!N52-AD!N25</f>
        <v>0</v>
      </c>
      <c r="U16" s="36">
        <f t="shared" si="6"/>
        <v>625964</v>
      </c>
    </row>
    <row r="17" spans="1:21" x14ac:dyDescent="0.25">
      <c r="B17" t="s">
        <v>12</v>
      </c>
      <c r="E17" s="55">
        <v>28594642</v>
      </c>
      <c r="F17" s="55"/>
      <c r="G17" s="19">
        <f t="shared" si="5"/>
        <v>28594642</v>
      </c>
      <c r="H17" s="15"/>
      <c r="I17" s="36">
        <f t="shared" si="7"/>
        <v>28594642</v>
      </c>
      <c r="K17" s="55">
        <v>23914705.34</v>
      </c>
      <c r="L17" s="55">
        <v>0</v>
      </c>
      <c r="M17" s="19">
        <f t="shared" si="2"/>
        <v>23914705.34</v>
      </c>
      <c r="N17" s="15"/>
      <c r="O17" s="19">
        <f t="shared" si="3"/>
        <v>23914705.34</v>
      </c>
      <c r="Q17" s="55">
        <v>14883321</v>
      </c>
      <c r="R17" s="15"/>
      <c r="S17" s="4">
        <f t="shared" si="4"/>
        <v>14883321</v>
      </c>
      <c r="T17" s="55"/>
      <c r="U17" s="19">
        <f t="shared" si="6"/>
        <v>14883321</v>
      </c>
    </row>
    <row r="18" spans="1:21" x14ac:dyDescent="0.25">
      <c r="A18" s="1" t="s">
        <v>13</v>
      </c>
      <c r="E18" s="20">
        <f>SUM(E8:E17)</f>
        <v>106384169</v>
      </c>
      <c r="F18" s="20">
        <f>SUM(F8:F17)</f>
        <v>27537495</v>
      </c>
      <c r="G18" s="20">
        <f>SUM(G8:G17)</f>
        <v>133921664</v>
      </c>
      <c r="H18" s="20">
        <f>SUM(H8:H17)</f>
        <v>-34305534</v>
      </c>
      <c r="I18" s="20">
        <f>SUM(I8:I17)</f>
        <v>99616130</v>
      </c>
      <c r="K18" s="20">
        <f>SUM(K8:K17)</f>
        <v>83502949.659999996</v>
      </c>
      <c r="L18" s="20">
        <f>SUM(L8:L17)</f>
        <v>23813048</v>
      </c>
      <c r="M18" s="20">
        <f>SUM(M8:M17)</f>
        <v>107315997.66</v>
      </c>
      <c r="N18" s="20">
        <f>SUM(N8:N17)</f>
        <v>-21714706</v>
      </c>
      <c r="O18" s="20">
        <f>SUM(O8:O17)</f>
        <v>85601291.659999996</v>
      </c>
      <c r="Q18" s="20">
        <f>SUM(Q8:Q17)</f>
        <v>69298970</v>
      </c>
      <c r="R18" s="20">
        <f>SUM(R8:R17)</f>
        <v>8530149</v>
      </c>
      <c r="S18" s="20">
        <f t="shared" si="4"/>
        <v>77829119</v>
      </c>
      <c r="T18" s="20">
        <f>SUM(T8:T17)</f>
        <v>-10306018</v>
      </c>
      <c r="U18" s="20">
        <f>SUM(U8:U17)</f>
        <v>67523101</v>
      </c>
    </row>
    <row r="19" spans="1:21" x14ac:dyDescent="0.25">
      <c r="E19" s="14"/>
      <c r="F19" s="30"/>
      <c r="G19" s="14"/>
      <c r="H19" s="14"/>
      <c r="I19" s="14"/>
      <c r="K19" s="14"/>
      <c r="L19" s="14"/>
      <c r="M19" s="14"/>
      <c r="N19" s="14"/>
      <c r="O19" s="14"/>
      <c r="Q19" s="55"/>
      <c r="R19" s="19"/>
      <c r="S19" s="57"/>
      <c r="T19" s="55"/>
      <c r="U19" s="19"/>
    </row>
    <row r="20" spans="1:21" ht="27" hidden="1" customHeight="1" x14ac:dyDescent="0.25">
      <c r="A20" s="287" t="s">
        <v>72</v>
      </c>
      <c r="B20" s="287"/>
      <c r="C20" s="287"/>
      <c r="D20" s="169"/>
      <c r="E20" s="90"/>
      <c r="F20" s="90"/>
      <c r="G20" s="90"/>
      <c r="H20" s="90"/>
      <c r="I20" s="90"/>
      <c r="J20" s="163"/>
      <c r="K20" s="90"/>
      <c r="L20" s="90"/>
      <c r="M20" s="90"/>
      <c r="N20" s="90"/>
      <c r="O20" s="90"/>
      <c r="P20" s="86"/>
      <c r="Q20" s="56"/>
      <c r="R20" s="25"/>
      <c r="S20" s="58"/>
      <c r="T20" s="56"/>
      <c r="U20" s="25">
        <f>+S20+T20</f>
        <v>0</v>
      </c>
    </row>
    <row r="21" spans="1:21" hidden="1" x14ac:dyDescent="0.25">
      <c r="E21" s="14"/>
      <c r="F21" s="14"/>
      <c r="G21" s="14"/>
      <c r="H21" s="14"/>
      <c r="I21" s="14"/>
      <c r="K21" s="14"/>
      <c r="L21" s="14"/>
      <c r="M21" s="14"/>
      <c r="N21" s="14"/>
      <c r="O21" s="14"/>
      <c r="Q21" s="22"/>
      <c r="R21" s="28"/>
      <c r="S21" s="22"/>
      <c r="T21" s="28"/>
      <c r="U21" s="22"/>
    </row>
    <row r="22" spans="1:21" x14ac:dyDescent="0.25">
      <c r="A22" s="1" t="s">
        <v>18</v>
      </c>
      <c r="B22" s="1"/>
      <c r="E22" s="15"/>
      <c r="F22" s="15"/>
      <c r="G22" s="15"/>
      <c r="H22" s="15"/>
      <c r="I22" s="15"/>
      <c r="K22" s="15"/>
      <c r="L22" s="15"/>
      <c r="M22" s="15"/>
      <c r="N22" s="15"/>
      <c r="O22" s="15"/>
      <c r="Q22" s="19"/>
      <c r="R22" s="28"/>
      <c r="S22" s="19"/>
      <c r="T22" s="28"/>
      <c r="U22" s="19"/>
    </row>
    <row r="23" spans="1:21" x14ac:dyDescent="0.25">
      <c r="A23" s="1"/>
      <c r="B23" s="3" t="s">
        <v>104</v>
      </c>
      <c r="E23" s="55">
        <v>2077739</v>
      </c>
      <c r="F23" s="15"/>
      <c r="G23" s="19">
        <f t="shared" ref="G23:G28" si="8">+E23+F23</f>
        <v>2077739</v>
      </c>
      <c r="H23" s="15"/>
      <c r="I23" s="19">
        <f t="shared" ref="I23:I28" si="9">+G23+H23</f>
        <v>2077739</v>
      </c>
      <c r="K23" s="55">
        <v>3150764</v>
      </c>
      <c r="L23" s="15"/>
      <c r="M23" s="19">
        <f t="shared" ref="M23:M27" si="10">+K23+L23</f>
        <v>3150764</v>
      </c>
      <c r="N23" s="15"/>
      <c r="O23" s="19">
        <f t="shared" ref="O23:O32" si="11">+M23+N23</f>
        <v>3150764</v>
      </c>
      <c r="Q23" s="55">
        <v>40694</v>
      </c>
      <c r="R23" s="15"/>
      <c r="S23" s="19">
        <f>Q23+R23</f>
        <v>40694</v>
      </c>
      <c r="T23" s="57"/>
      <c r="U23" s="19">
        <f t="shared" ref="U23:U32" si="12">+S23+T23</f>
        <v>40694</v>
      </c>
    </row>
    <row r="24" spans="1:21" x14ac:dyDescent="0.25">
      <c r="B24" t="s">
        <v>19</v>
      </c>
      <c r="E24" s="55">
        <v>360864</v>
      </c>
      <c r="F24" s="15"/>
      <c r="G24" s="19">
        <f t="shared" si="8"/>
        <v>360864</v>
      </c>
      <c r="H24" s="15"/>
      <c r="I24" s="19">
        <f t="shared" si="9"/>
        <v>360864</v>
      </c>
      <c r="K24" s="55">
        <v>1449893</v>
      </c>
      <c r="L24" s="15"/>
      <c r="M24" s="19">
        <f t="shared" si="10"/>
        <v>1449893</v>
      </c>
      <c r="N24" s="15"/>
      <c r="O24" s="19">
        <f t="shared" si="11"/>
        <v>1449893</v>
      </c>
      <c r="Q24" s="55">
        <v>3212434</v>
      </c>
      <c r="R24" s="15"/>
      <c r="S24" s="19">
        <f t="shared" ref="S24:S31" si="13">Q24+R24</f>
        <v>3212434</v>
      </c>
      <c r="U24" s="19">
        <f t="shared" si="12"/>
        <v>3212434</v>
      </c>
    </row>
    <row r="25" spans="1:21" x14ac:dyDescent="0.25">
      <c r="B25" t="s">
        <v>20</v>
      </c>
      <c r="E25" s="55">
        <v>43682484</v>
      </c>
      <c r="F25" s="55">
        <v>15927036</v>
      </c>
      <c r="G25" s="19">
        <f t="shared" si="8"/>
        <v>59609520</v>
      </c>
      <c r="H25" s="19">
        <f>-AD!H23+AD!G40+AD!G47-AD!H53</f>
        <v>-13217070.938548002</v>
      </c>
      <c r="I25" s="19">
        <f t="shared" si="9"/>
        <v>46392449.061452001</v>
      </c>
      <c r="K25" s="55">
        <v>58219865</v>
      </c>
      <c r="L25" s="55">
        <v>13960461</v>
      </c>
      <c r="M25" s="19">
        <f t="shared" si="10"/>
        <v>72180326</v>
      </c>
      <c r="N25" s="19">
        <f>-AD!J23+AD!I40+AD!I48-AD!J53</f>
        <v>-14650151.938548002</v>
      </c>
      <c r="O25" s="19">
        <f t="shared" si="11"/>
        <v>57530174.061452001</v>
      </c>
      <c r="Q25" s="55">
        <v>66573020</v>
      </c>
      <c r="R25" s="55">
        <v>17358621</v>
      </c>
      <c r="S25" s="19">
        <f t="shared" si="13"/>
        <v>83931641</v>
      </c>
      <c r="T25" s="4">
        <f>-AD!L23+AD!K40+AD!K48-AD!L53</f>
        <v>-18536381.523400001</v>
      </c>
      <c r="U25" s="19">
        <f t="shared" si="12"/>
        <v>65395259.476599999</v>
      </c>
    </row>
    <row r="26" spans="1:21" x14ac:dyDescent="0.25">
      <c r="B26" t="s">
        <v>21</v>
      </c>
      <c r="E26" s="55">
        <v>584801</v>
      </c>
      <c r="F26" s="55"/>
      <c r="G26" s="19">
        <f t="shared" si="8"/>
        <v>584801</v>
      </c>
      <c r="H26" s="15"/>
      <c r="I26" s="19">
        <f t="shared" si="9"/>
        <v>584801</v>
      </c>
      <c r="K26" s="55">
        <v>624011</v>
      </c>
      <c r="L26" s="55"/>
      <c r="M26" s="19">
        <f t="shared" si="10"/>
        <v>624011</v>
      </c>
      <c r="N26" s="15"/>
      <c r="O26" s="19">
        <f t="shared" si="11"/>
        <v>624011</v>
      </c>
      <c r="Q26" s="55">
        <v>661755</v>
      </c>
      <c r="R26" s="15"/>
      <c r="S26" s="19">
        <f t="shared" si="13"/>
        <v>661755</v>
      </c>
      <c r="U26" s="19">
        <f t="shared" si="12"/>
        <v>661755</v>
      </c>
    </row>
    <row r="27" spans="1:21" x14ac:dyDescent="0.25">
      <c r="B27" t="s">
        <v>22</v>
      </c>
      <c r="E27" s="55">
        <v>12779430</v>
      </c>
      <c r="F27" s="55">
        <f>431014+1477144</f>
        <v>1908158</v>
      </c>
      <c r="G27" s="19">
        <f t="shared" si="8"/>
        <v>14687588</v>
      </c>
      <c r="H27" s="15"/>
      <c r="I27" s="19">
        <f t="shared" si="9"/>
        <v>14687588</v>
      </c>
      <c r="K27" s="55">
        <v>14218560.43</v>
      </c>
      <c r="L27" s="55">
        <v>231861</v>
      </c>
      <c r="M27" s="19">
        <f t="shared" si="10"/>
        <v>14450421.43</v>
      </c>
      <c r="N27" s="15"/>
      <c r="O27" s="19">
        <f t="shared" si="11"/>
        <v>14450421.43</v>
      </c>
      <c r="Q27" s="55">
        <v>11586243</v>
      </c>
      <c r="R27" s="55">
        <v>241844</v>
      </c>
      <c r="S27" s="19">
        <f t="shared" si="13"/>
        <v>11828087</v>
      </c>
      <c r="U27" s="19">
        <f t="shared" si="12"/>
        <v>11828087</v>
      </c>
    </row>
    <row r="28" spans="1:21" x14ac:dyDescent="0.25">
      <c r="B28" t="s">
        <v>343</v>
      </c>
      <c r="E28" s="19">
        <v>4147107</v>
      </c>
      <c r="F28" s="15"/>
      <c r="G28" s="19">
        <f t="shared" si="8"/>
        <v>4147107</v>
      </c>
      <c r="H28" s="15"/>
      <c r="I28" s="19">
        <f t="shared" si="9"/>
        <v>4147107</v>
      </c>
      <c r="K28" s="15"/>
      <c r="L28" s="15"/>
      <c r="M28" s="15"/>
      <c r="N28" s="15"/>
      <c r="O28" s="15"/>
      <c r="Q28" s="15"/>
      <c r="R28" s="15"/>
      <c r="S28" s="19">
        <f t="shared" si="13"/>
        <v>0</v>
      </c>
      <c r="U28" s="19">
        <f t="shared" si="12"/>
        <v>0</v>
      </c>
    </row>
    <row r="29" spans="1:21" x14ac:dyDescent="0.25">
      <c r="B29" t="s">
        <v>178</v>
      </c>
      <c r="E29" s="55">
        <v>1673584</v>
      </c>
      <c r="F29" s="55"/>
      <c r="G29" s="19">
        <f t="shared" ref="G29:G32" si="14">+E29+F29</f>
        <v>1673584</v>
      </c>
      <c r="H29" s="15"/>
      <c r="I29" s="19">
        <f t="shared" ref="I29:I32" si="15">+G29+H29</f>
        <v>1673584</v>
      </c>
      <c r="K29" s="55">
        <v>1422229</v>
      </c>
      <c r="L29" s="55"/>
      <c r="M29" s="19">
        <f t="shared" ref="M29:M32" si="16">+K29+L29</f>
        <v>1422229</v>
      </c>
      <c r="N29" s="15"/>
      <c r="O29" s="19">
        <f t="shared" si="11"/>
        <v>1422229</v>
      </c>
      <c r="Q29" s="55">
        <v>1422229</v>
      </c>
      <c r="R29" s="15"/>
      <c r="S29" s="19">
        <f t="shared" si="13"/>
        <v>1422229</v>
      </c>
      <c r="U29" s="19">
        <f t="shared" si="12"/>
        <v>1422229</v>
      </c>
    </row>
    <row r="30" spans="1:21" x14ac:dyDescent="0.25">
      <c r="B30" t="s">
        <v>23</v>
      </c>
      <c r="E30" s="55">
        <v>39016871</v>
      </c>
      <c r="F30" s="55"/>
      <c r="G30" s="19">
        <f t="shared" si="14"/>
        <v>39016871</v>
      </c>
      <c r="H30" s="15"/>
      <c r="I30" s="19">
        <f t="shared" si="15"/>
        <v>39016871</v>
      </c>
      <c r="K30" s="55">
        <v>39016871</v>
      </c>
      <c r="L30" s="55"/>
      <c r="M30" s="19">
        <f t="shared" si="16"/>
        <v>39016871</v>
      </c>
      <c r="N30" s="15"/>
      <c r="O30" s="19">
        <f t="shared" si="11"/>
        <v>39016871</v>
      </c>
      <c r="Q30" s="55">
        <v>44513438</v>
      </c>
      <c r="R30" s="15"/>
      <c r="S30" s="19">
        <f t="shared" si="13"/>
        <v>44513438</v>
      </c>
      <c r="U30" s="19">
        <f t="shared" si="12"/>
        <v>44513438</v>
      </c>
    </row>
    <row r="31" spans="1:21" x14ac:dyDescent="0.25">
      <c r="B31" t="s">
        <v>344</v>
      </c>
      <c r="E31" s="19">
        <v>261500</v>
      </c>
      <c r="F31" s="19">
        <v>135662</v>
      </c>
      <c r="G31" s="19">
        <f t="shared" si="14"/>
        <v>397162</v>
      </c>
      <c r="H31" s="19">
        <f>+AD!G46+AD!G62</f>
        <v>3164337.1851480007</v>
      </c>
      <c r="I31" s="19">
        <f t="shared" si="15"/>
        <v>3561499.1851480007</v>
      </c>
      <c r="K31" s="19">
        <v>261500</v>
      </c>
      <c r="L31" s="19">
        <v>62075</v>
      </c>
      <c r="M31" s="19">
        <f t="shared" si="16"/>
        <v>323575</v>
      </c>
      <c r="N31" s="19">
        <f>+AD!I46+AD!I62+AD!I57</f>
        <v>3522607.4351480003</v>
      </c>
      <c r="O31" s="19">
        <f t="shared" si="11"/>
        <v>3846182.4351480003</v>
      </c>
      <c r="Q31" s="19">
        <v>0</v>
      </c>
      <c r="R31" s="15"/>
      <c r="S31" s="19">
        <f t="shared" si="13"/>
        <v>0</v>
      </c>
      <c r="T31" s="4">
        <f>+AD!K46+AD!K62</f>
        <v>4078003.9351480003</v>
      </c>
      <c r="U31" s="19">
        <f t="shared" si="12"/>
        <v>4078003.9351480003</v>
      </c>
    </row>
    <row r="32" spans="1:21" x14ac:dyDescent="0.25">
      <c r="B32" t="s">
        <v>49</v>
      </c>
      <c r="E32" s="55">
        <v>1500</v>
      </c>
      <c r="F32" s="55">
        <v>59027</v>
      </c>
      <c r="G32" s="19">
        <f t="shared" si="14"/>
        <v>60527</v>
      </c>
      <c r="H32" s="26"/>
      <c r="I32" s="19">
        <f t="shared" si="15"/>
        <v>60527</v>
      </c>
      <c r="K32" s="55">
        <v>105893</v>
      </c>
      <c r="L32" s="55">
        <v>38920</v>
      </c>
      <c r="M32" s="19">
        <f t="shared" si="16"/>
        <v>144813</v>
      </c>
      <c r="N32" s="26"/>
      <c r="O32" s="19">
        <f t="shared" si="11"/>
        <v>144813</v>
      </c>
      <c r="Q32" s="55">
        <v>105894</v>
      </c>
      <c r="R32" s="55">
        <v>35121</v>
      </c>
      <c r="S32" s="19">
        <f>Q32+R32</f>
        <v>141015</v>
      </c>
      <c r="U32" s="19">
        <f t="shared" si="12"/>
        <v>141015</v>
      </c>
    </row>
    <row r="33" spans="1:21" x14ac:dyDescent="0.25">
      <c r="A33" s="1" t="s">
        <v>24</v>
      </c>
      <c r="E33" s="20">
        <f>SUM(E23:E32)</f>
        <v>104585880</v>
      </c>
      <c r="F33" s="20">
        <f>SUM(F23:F32)</f>
        <v>18029883</v>
      </c>
      <c r="G33" s="20">
        <f>SUM(G23:G32)</f>
        <v>122615763</v>
      </c>
      <c r="H33" s="20">
        <f>SUM(H23:H32)</f>
        <v>-10052733.753400002</v>
      </c>
      <c r="I33" s="20">
        <f>SUM(I23:I32)</f>
        <v>112563029.2466</v>
      </c>
      <c r="K33" s="20">
        <f>SUM(K23:K32)</f>
        <v>118469586.43000001</v>
      </c>
      <c r="L33" s="20">
        <f>SUM(L23:L32)</f>
        <v>14293317</v>
      </c>
      <c r="M33" s="20">
        <f>SUM(M23:M32)</f>
        <v>132762903.43000001</v>
      </c>
      <c r="N33" s="20">
        <f>SUM(N23:N32)</f>
        <v>-11127544.503400002</v>
      </c>
      <c r="O33" s="20">
        <f>SUM(O23:O32)</f>
        <v>121635358.92660001</v>
      </c>
      <c r="Q33" s="20">
        <f>SUM(Q23:Q32)</f>
        <v>128115707</v>
      </c>
      <c r="R33" s="20">
        <f>SUM(R23:R32)</f>
        <v>17635586</v>
      </c>
      <c r="S33" s="20">
        <f>SUM(S23:S32)</f>
        <v>145751293</v>
      </c>
      <c r="T33" s="20">
        <f>SUM(T23:T32)</f>
        <v>-14458377.588252001</v>
      </c>
      <c r="U33" s="20">
        <f>SUM(U23:U32)</f>
        <v>131292915.41174799</v>
      </c>
    </row>
    <row r="34" spans="1:21" x14ac:dyDescent="0.25">
      <c r="A34" s="1" t="s">
        <v>25</v>
      </c>
      <c r="E34" s="20">
        <f>E33+E18</f>
        <v>210970049</v>
      </c>
      <c r="F34" s="20">
        <f>F33+F18</f>
        <v>45567378</v>
      </c>
      <c r="G34" s="20">
        <f>G33+G18</f>
        <v>256537427</v>
      </c>
      <c r="H34" s="20">
        <f>H33+H18</f>
        <v>-44358267.753399998</v>
      </c>
      <c r="I34" s="20">
        <f>I33+I18</f>
        <v>212179159.2466</v>
      </c>
      <c r="K34" s="20">
        <f>K33+K18</f>
        <v>201972536.09</v>
      </c>
      <c r="L34" s="20">
        <f>L33+L18</f>
        <v>38106365</v>
      </c>
      <c r="M34" s="20">
        <f>M33+M18</f>
        <v>240078901.09</v>
      </c>
      <c r="N34" s="20">
        <f>N33+N18</f>
        <v>-32842250.503400002</v>
      </c>
      <c r="O34" s="20">
        <f>O33+O18</f>
        <v>207236650.58660001</v>
      </c>
      <c r="Q34" s="20">
        <f>Q33+Q18</f>
        <v>197414677</v>
      </c>
      <c r="R34" s="20">
        <f>R18+R33</f>
        <v>26165735</v>
      </c>
      <c r="S34" s="44">
        <f>Q34+R34</f>
        <v>223580412</v>
      </c>
      <c r="T34" s="44">
        <f>T18+T33</f>
        <v>-24764395.588252001</v>
      </c>
      <c r="U34" s="44">
        <f>+U33+U18</f>
        <v>198816016.41174799</v>
      </c>
    </row>
    <row r="35" spans="1:21" x14ac:dyDescent="0.25">
      <c r="E35" s="14"/>
      <c r="F35" s="14"/>
      <c r="G35" s="14"/>
      <c r="H35" s="14"/>
      <c r="I35" s="14"/>
      <c r="K35" s="14"/>
      <c r="L35" s="14"/>
      <c r="M35" s="14"/>
      <c r="N35" s="14"/>
      <c r="O35" s="14"/>
      <c r="Q35" s="22"/>
      <c r="R35" s="59"/>
      <c r="S35" s="22"/>
      <c r="T35" s="59"/>
      <c r="U35" s="22"/>
    </row>
    <row r="36" spans="1:21" x14ac:dyDescent="0.25">
      <c r="C36" s="5" t="s">
        <v>26</v>
      </c>
      <c r="D36" s="5"/>
      <c r="E36" s="91"/>
      <c r="F36" s="91"/>
      <c r="G36" s="91"/>
      <c r="H36" s="91"/>
      <c r="I36" s="91"/>
      <c r="J36" s="5"/>
      <c r="K36" s="91"/>
      <c r="L36" s="91"/>
      <c r="M36" s="91"/>
      <c r="N36" s="91"/>
      <c r="O36" s="91"/>
      <c r="P36" s="5"/>
      <c r="Q36" s="19"/>
      <c r="R36" s="57"/>
      <c r="S36" s="19"/>
      <c r="T36" s="57"/>
      <c r="U36" s="19"/>
    </row>
    <row r="37" spans="1:21" x14ac:dyDescent="0.25">
      <c r="A37" s="1" t="s">
        <v>27</v>
      </c>
      <c r="E37" s="15"/>
      <c r="F37" s="15"/>
      <c r="G37" s="15"/>
      <c r="H37" s="15"/>
      <c r="I37" s="15"/>
      <c r="K37" s="15"/>
      <c r="L37" s="15"/>
      <c r="M37" s="15"/>
      <c r="N37" s="15"/>
      <c r="O37" s="15"/>
      <c r="Q37" s="19"/>
      <c r="R37" s="57"/>
      <c r="S37" s="19"/>
      <c r="T37" s="57"/>
      <c r="U37" s="19"/>
    </row>
    <row r="38" spans="1:21" x14ac:dyDescent="0.25">
      <c r="A38" s="1"/>
      <c r="B38" t="s">
        <v>346</v>
      </c>
      <c r="E38" s="55">
        <v>50776</v>
      </c>
      <c r="F38" s="9"/>
      <c r="G38" s="19">
        <f t="shared" ref="G38:G40" si="17">+E38+F38</f>
        <v>50776</v>
      </c>
      <c r="H38" s="15"/>
      <c r="I38" s="19">
        <f t="shared" ref="I38:I40" si="18">+G38+H38</f>
        <v>50776</v>
      </c>
      <c r="K38" s="55">
        <v>3792926</v>
      </c>
      <c r="L38" s="9"/>
      <c r="M38" s="19">
        <f t="shared" ref="M38:M43" si="19">+K38+L38</f>
        <v>3792926</v>
      </c>
      <c r="N38" s="15"/>
      <c r="O38" s="19">
        <f t="shared" ref="O38:O50" si="20">+M38+N38</f>
        <v>3792926</v>
      </c>
      <c r="Q38" s="55"/>
      <c r="R38" s="57"/>
      <c r="S38" s="19"/>
      <c r="T38" s="57"/>
      <c r="U38" s="19"/>
    </row>
    <row r="39" spans="1:21" x14ac:dyDescent="0.25">
      <c r="B39" t="s">
        <v>345</v>
      </c>
      <c r="E39" s="55">
        <v>3385113</v>
      </c>
      <c r="F39" s="55">
        <v>1723259</v>
      </c>
      <c r="G39" s="19">
        <f t="shared" si="17"/>
        <v>5108372</v>
      </c>
      <c r="H39" s="15"/>
      <c r="I39" s="19">
        <f t="shared" si="18"/>
        <v>5108372</v>
      </c>
      <c r="K39" s="55">
        <v>11469368</v>
      </c>
      <c r="L39" s="55">
        <v>1606363</v>
      </c>
      <c r="M39" s="19">
        <f t="shared" si="19"/>
        <v>13075731</v>
      </c>
      <c r="N39" s="15"/>
      <c r="O39" s="19">
        <f t="shared" si="20"/>
        <v>13075731</v>
      </c>
      <c r="Q39" s="55">
        <v>25133387</v>
      </c>
      <c r="R39" s="55">
        <v>2011281</v>
      </c>
      <c r="S39" s="19">
        <f>+Q39+R39</f>
        <v>27144668</v>
      </c>
      <c r="U39" s="19">
        <f>+S39+T39</f>
        <v>27144668</v>
      </c>
    </row>
    <row r="40" spans="1:21" x14ac:dyDescent="0.25">
      <c r="B40" t="s">
        <v>304</v>
      </c>
      <c r="E40" s="55">
        <v>2484731</v>
      </c>
      <c r="F40" s="55"/>
      <c r="G40" s="19">
        <f t="shared" si="17"/>
        <v>2484731</v>
      </c>
      <c r="H40" s="15"/>
      <c r="I40" s="19">
        <f t="shared" si="18"/>
        <v>2484731</v>
      </c>
      <c r="K40" s="55">
        <v>8587943</v>
      </c>
      <c r="L40" s="55"/>
      <c r="M40" s="19">
        <f t="shared" si="19"/>
        <v>8587943</v>
      </c>
      <c r="N40" s="15"/>
      <c r="O40" s="19">
        <f t="shared" si="20"/>
        <v>8587943</v>
      </c>
      <c r="Q40" s="55">
        <v>0</v>
      </c>
      <c r="R40" s="55">
        <v>0</v>
      </c>
      <c r="S40" s="19">
        <f>+Q40+R40</f>
        <v>0</v>
      </c>
      <c r="U40" s="19">
        <f>+S40+T40</f>
        <v>0</v>
      </c>
    </row>
    <row r="41" spans="1:21" x14ac:dyDescent="0.25">
      <c r="B41" t="s">
        <v>29</v>
      </c>
      <c r="E41" s="15"/>
      <c r="F41" s="55"/>
      <c r="G41" s="15"/>
      <c r="H41" s="15"/>
      <c r="I41" s="19"/>
      <c r="K41" s="15"/>
      <c r="L41" s="55"/>
      <c r="M41" s="15"/>
      <c r="N41" s="15"/>
      <c r="O41" s="19"/>
      <c r="Q41" s="15"/>
      <c r="R41" s="55"/>
      <c r="S41" s="19"/>
      <c r="U41" s="19"/>
    </row>
    <row r="42" spans="1:21" x14ac:dyDescent="0.25">
      <c r="B42" t="s">
        <v>30</v>
      </c>
      <c r="E42" s="55">
        <v>20932053</v>
      </c>
      <c r="F42" s="55">
        <v>2140093</v>
      </c>
      <c r="G42" s="19">
        <f t="shared" ref="G42:G43" si="21">+E42+F42</f>
        <v>23072146</v>
      </c>
      <c r="H42" s="15"/>
      <c r="I42" s="19">
        <f t="shared" ref="I42:I50" si="22">+G42+H42</f>
        <v>23072146</v>
      </c>
      <c r="K42" s="55">
        <v>15777543</v>
      </c>
      <c r="L42" s="55">
        <v>694461</v>
      </c>
      <c r="M42" s="19">
        <f t="shared" si="19"/>
        <v>16472004</v>
      </c>
      <c r="N42" s="15"/>
      <c r="O42" s="19">
        <f t="shared" si="20"/>
        <v>16472004</v>
      </c>
      <c r="Q42" s="55">
        <f>19562775-1869732</f>
        <v>17693043</v>
      </c>
      <c r="R42" s="55">
        <v>599812</v>
      </c>
      <c r="S42" s="19">
        <f t="shared" ref="S42:S51" si="23">+Q42+R42</f>
        <v>18292855</v>
      </c>
      <c r="U42" s="19">
        <f t="shared" ref="U42:U50" si="24">+S42+T42</f>
        <v>18292855</v>
      </c>
    </row>
    <row r="43" spans="1:21" x14ac:dyDescent="0.25">
      <c r="B43" t="s">
        <v>8</v>
      </c>
      <c r="E43" s="55">
        <v>5069876</v>
      </c>
      <c r="F43" s="55">
        <v>12478474</v>
      </c>
      <c r="G43" s="19">
        <f t="shared" si="21"/>
        <v>17548350</v>
      </c>
      <c r="H43" s="19">
        <f>-AD!G13-AD!G14</f>
        <v>-12628876</v>
      </c>
      <c r="I43" s="19">
        <f t="shared" si="22"/>
        <v>4919474</v>
      </c>
      <c r="K43" s="55">
        <v>1933474</v>
      </c>
      <c r="L43" s="55">
        <v>10682418</v>
      </c>
      <c r="M43" s="19">
        <f t="shared" si="19"/>
        <v>12615892</v>
      </c>
      <c r="N43" s="19">
        <f>-AD!I13</f>
        <v>-10682418</v>
      </c>
      <c r="O43" s="19">
        <f t="shared" si="20"/>
        <v>1933474</v>
      </c>
      <c r="Q43" s="55">
        <f>10819633-10628880+1869732</f>
        <v>2060485</v>
      </c>
      <c r="R43" s="55">
        <v>5099200</v>
      </c>
      <c r="S43" s="19">
        <f t="shared" si="23"/>
        <v>7159685</v>
      </c>
      <c r="T43" s="4">
        <f>-AD!K13</f>
        <v>-5099200</v>
      </c>
      <c r="U43" s="19">
        <f t="shared" si="24"/>
        <v>2060485</v>
      </c>
    </row>
    <row r="44" spans="1:21" hidden="1" x14ac:dyDescent="0.25">
      <c r="B44" t="s">
        <v>31</v>
      </c>
      <c r="E44" s="55"/>
      <c r="F44" s="93"/>
      <c r="G44" s="15"/>
      <c r="H44" s="15"/>
      <c r="I44" s="19">
        <f t="shared" si="22"/>
        <v>0</v>
      </c>
      <c r="K44" s="55"/>
      <c r="L44" s="93"/>
      <c r="M44" s="15"/>
      <c r="N44" s="15"/>
      <c r="O44" s="19">
        <f t="shared" si="20"/>
        <v>0</v>
      </c>
      <c r="Q44" s="55"/>
      <c r="R44" s="93"/>
      <c r="S44" s="19">
        <f t="shared" si="23"/>
        <v>0</v>
      </c>
      <c r="U44" s="19">
        <f t="shared" si="24"/>
        <v>0</v>
      </c>
    </row>
    <row r="45" spans="1:21" x14ac:dyDescent="0.25">
      <c r="B45" t="s">
        <v>32</v>
      </c>
      <c r="E45" s="55">
        <v>7588859</v>
      </c>
      <c r="F45" s="47">
        <v>1332387</v>
      </c>
      <c r="G45" s="19">
        <f t="shared" ref="G45:G50" si="25">+E45+F45</f>
        <v>8921246</v>
      </c>
      <c r="H45" s="15"/>
      <c r="I45" s="19">
        <f t="shared" si="22"/>
        <v>8921246</v>
      </c>
      <c r="K45" s="55">
        <v>6713206</v>
      </c>
      <c r="L45" s="47">
        <v>1593751</v>
      </c>
      <c r="M45" s="19">
        <f t="shared" ref="M45:M50" si="26">+K45+L45</f>
        <v>8306957</v>
      </c>
      <c r="N45" s="15"/>
      <c r="O45" s="19">
        <f t="shared" si="20"/>
        <v>8306957</v>
      </c>
      <c r="Q45" s="55">
        <f>4228478</f>
        <v>4228478</v>
      </c>
      <c r="R45" s="47">
        <v>355666</v>
      </c>
      <c r="S45" s="19">
        <f t="shared" si="23"/>
        <v>4584144</v>
      </c>
      <c r="U45" s="19">
        <f t="shared" si="24"/>
        <v>4584144</v>
      </c>
    </row>
    <row r="46" spans="1:21" x14ac:dyDescent="0.25">
      <c r="B46" t="s">
        <v>33</v>
      </c>
      <c r="E46" s="55">
        <v>3860134</v>
      </c>
      <c r="F46" s="55">
        <f>13147+810</f>
        <v>13957</v>
      </c>
      <c r="G46" s="19">
        <f t="shared" si="25"/>
        <v>3874091</v>
      </c>
      <c r="H46" s="15"/>
      <c r="I46" s="19">
        <f t="shared" si="22"/>
        <v>3874091</v>
      </c>
      <c r="K46" s="55">
        <v>2325545</v>
      </c>
      <c r="L46" s="55">
        <v>28903</v>
      </c>
      <c r="M46" s="19">
        <f t="shared" si="26"/>
        <v>2354448</v>
      </c>
      <c r="N46" s="15"/>
      <c r="O46" s="19">
        <f t="shared" si="20"/>
        <v>2354448</v>
      </c>
      <c r="Q46" s="55">
        <v>3286332</v>
      </c>
      <c r="R46" s="55">
        <v>18473</v>
      </c>
      <c r="S46" s="19">
        <f t="shared" si="23"/>
        <v>3304805</v>
      </c>
      <c r="U46" s="19">
        <f t="shared" si="24"/>
        <v>3304805</v>
      </c>
    </row>
    <row r="47" spans="1:21" x14ac:dyDescent="0.25">
      <c r="B47" t="s">
        <v>348</v>
      </c>
      <c r="E47" s="55">
        <v>7675934</v>
      </c>
      <c r="F47" s="55">
        <v>431243</v>
      </c>
      <c r="G47" s="19">
        <f t="shared" si="25"/>
        <v>8107177</v>
      </c>
      <c r="H47" s="19">
        <f>-AD!G29-AD!G15</f>
        <v>-6673333</v>
      </c>
      <c r="I47" s="19">
        <f t="shared" si="22"/>
        <v>1433844</v>
      </c>
      <c r="K47" s="55">
        <v>9631316</v>
      </c>
      <c r="L47" s="55">
        <v>301722</v>
      </c>
      <c r="M47" s="19">
        <f t="shared" si="26"/>
        <v>9933038</v>
      </c>
      <c r="N47" s="19">
        <f>-AD!I29</f>
        <v>-6088067</v>
      </c>
      <c r="O47" s="19">
        <f t="shared" si="20"/>
        <v>3844971</v>
      </c>
      <c r="Q47" s="55">
        <v>1953502</v>
      </c>
      <c r="R47" s="55">
        <v>278886</v>
      </c>
      <c r="S47" s="19">
        <f t="shared" si="23"/>
        <v>2232388</v>
      </c>
      <c r="T47" s="4">
        <f>-AD!K29</f>
        <v>-656393</v>
      </c>
      <c r="U47" s="19">
        <f t="shared" si="24"/>
        <v>1575995</v>
      </c>
    </row>
    <row r="48" spans="1:21" x14ac:dyDescent="0.25">
      <c r="B48" t="s">
        <v>35</v>
      </c>
      <c r="E48" s="55">
        <v>7584113</v>
      </c>
      <c r="F48" s="55">
        <v>2169404</v>
      </c>
      <c r="G48" s="19">
        <f>+E48+F48</f>
        <v>9753517</v>
      </c>
      <c r="H48" s="15"/>
      <c r="I48" s="19">
        <f>+G48+H48</f>
        <v>9753517</v>
      </c>
      <c r="K48" s="55">
        <v>6162582</v>
      </c>
      <c r="L48" s="55">
        <v>1399620</v>
      </c>
      <c r="M48" s="19">
        <f>+K48+L48</f>
        <v>7562202</v>
      </c>
      <c r="N48" s="15"/>
      <c r="O48" s="19">
        <f>+M48+N48</f>
        <v>7562202</v>
      </c>
      <c r="Q48" s="55">
        <v>4524107</v>
      </c>
      <c r="R48" s="55">
        <v>982596</v>
      </c>
      <c r="S48" s="19">
        <f>+Q48+R48</f>
        <v>5506703</v>
      </c>
      <c r="U48" s="19">
        <f>+S48+T48</f>
        <v>5506703</v>
      </c>
    </row>
    <row r="49" spans="1:21" x14ac:dyDescent="0.25">
      <c r="B49" t="s">
        <v>328</v>
      </c>
      <c r="E49" s="55">
        <v>1519701</v>
      </c>
      <c r="F49" s="55">
        <v>699516</v>
      </c>
      <c r="G49" s="19">
        <f t="shared" si="25"/>
        <v>2219217</v>
      </c>
      <c r="H49" s="19"/>
      <c r="I49" s="19">
        <f t="shared" si="22"/>
        <v>2219217</v>
      </c>
      <c r="K49" s="55"/>
      <c r="L49" s="55"/>
      <c r="M49" s="19"/>
      <c r="N49" s="19"/>
      <c r="O49" s="19"/>
      <c r="Q49" s="55"/>
      <c r="R49" s="55"/>
      <c r="S49" s="19"/>
      <c r="U49" s="19"/>
    </row>
    <row r="50" spans="1:21" x14ac:dyDescent="0.25">
      <c r="B50" t="s">
        <v>314</v>
      </c>
      <c r="E50" s="55">
        <v>0</v>
      </c>
      <c r="F50" s="55"/>
      <c r="G50" s="19">
        <f t="shared" si="25"/>
        <v>0</v>
      </c>
      <c r="H50" s="25"/>
      <c r="I50" s="19">
        <f t="shared" si="22"/>
        <v>0</v>
      </c>
      <c r="K50" s="55">
        <v>0</v>
      </c>
      <c r="L50" s="55">
        <v>0</v>
      </c>
      <c r="M50" s="19">
        <f t="shared" si="26"/>
        <v>0</v>
      </c>
      <c r="N50" s="25">
        <f>-AD!I32</f>
        <v>0</v>
      </c>
      <c r="O50" s="19">
        <f t="shared" si="20"/>
        <v>0</v>
      </c>
      <c r="Q50" s="55">
        <v>4183053</v>
      </c>
      <c r="R50" s="55">
        <v>249138</v>
      </c>
      <c r="S50" s="19">
        <f t="shared" si="23"/>
        <v>4432191</v>
      </c>
      <c r="T50" s="4">
        <f>-AD!K32</f>
        <v>-2148000</v>
      </c>
      <c r="U50" s="19">
        <f t="shared" si="24"/>
        <v>2284191</v>
      </c>
    </row>
    <row r="51" spans="1:21" x14ac:dyDescent="0.25">
      <c r="A51" s="1" t="s">
        <v>37</v>
      </c>
      <c r="E51" s="20">
        <f>SUM(E38:E50)</f>
        <v>60151290</v>
      </c>
      <c r="F51" s="20">
        <f>SUM(F38:F50)</f>
        <v>20988333</v>
      </c>
      <c r="G51" s="20">
        <f>SUM(G38:G50)</f>
        <v>81139623</v>
      </c>
      <c r="H51" s="20">
        <f>SUM(H38:H50)</f>
        <v>-19302209</v>
      </c>
      <c r="I51" s="20">
        <f>SUM(I38:I50)</f>
        <v>61837414</v>
      </c>
      <c r="K51" s="20">
        <f>SUM(K38:K50)</f>
        <v>66393903</v>
      </c>
      <c r="L51" s="20">
        <f t="shared" ref="L51:O51" si="27">SUM(L38:L50)</f>
        <v>16307238</v>
      </c>
      <c r="M51" s="20">
        <f t="shared" si="27"/>
        <v>82701141</v>
      </c>
      <c r="N51" s="20">
        <f t="shared" si="27"/>
        <v>-16770485</v>
      </c>
      <c r="O51" s="20">
        <f t="shared" si="27"/>
        <v>65930656</v>
      </c>
      <c r="Q51" s="20">
        <f>SUM(Q39:Q50)</f>
        <v>63062387</v>
      </c>
      <c r="R51" s="20">
        <f>SUM(R39:R50)</f>
        <v>9595052</v>
      </c>
      <c r="S51" s="20">
        <f t="shared" si="23"/>
        <v>72657439</v>
      </c>
      <c r="T51" s="20">
        <f>SUM(T39:T50)</f>
        <v>-7903593</v>
      </c>
      <c r="U51" s="20">
        <f>SUM(U39:U50)</f>
        <v>64753846</v>
      </c>
    </row>
    <row r="52" spans="1:21" x14ac:dyDescent="0.25">
      <c r="E52" s="14"/>
      <c r="F52" s="30"/>
      <c r="G52" s="14"/>
      <c r="H52" s="14"/>
      <c r="I52" s="14"/>
      <c r="K52" s="14"/>
      <c r="L52" s="14"/>
      <c r="M52" s="14"/>
      <c r="N52" s="14"/>
      <c r="O52" s="14"/>
      <c r="Q52" s="19"/>
      <c r="R52" s="57"/>
      <c r="S52" s="19"/>
      <c r="T52" s="57"/>
      <c r="U52" s="19"/>
    </row>
    <row r="53" spans="1:21" x14ac:dyDescent="0.25">
      <c r="A53" s="1" t="s">
        <v>38</v>
      </c>
      <c r="E53" s="15"/>
      <c r="F53" s="15"/>
      <c r="G53" s="15"/>
      <c r="H53" s="15"/>
      <c r="I53" s="15"/>
      <c r="K53" s="15"/>
      <c r="L53" s="15"/>
      <c r="M53" s="15"/>
      <c r="N53" s="15"/>
      <c r="O53" s="15"/>
      <c r="Q53" s="19"/>
      <c r="R53" s="57"/>
      <c r="S53" s="19"/>
      <c r="T53" s="57"/>
      <c r="U53" s="19"/>
    </row>
    <row r="54" spans="1:21" x14ac:dyDescent="0.25">
      <c r="B54" t="s">
        <v>28</v>
      </c>
      <c r="E54" s="55">
        <v>1654005</v>
      </c>
      <c r="F54" s="55">
        <v>909285</v>
      </c>
      <c r="G54" s="19">
        <f t="shared" ref="G54:G55" si="28">+E54+F54</f>
        <v>2563290</v>
      </c>
      <c r="H54" s="15"/>
      <c r="I54" s="19">
        <f t="shared" ref="I54:I55" si="29">+G54+H54</f>
        <v>2563290</v>
      </c>
      <c r="K54" s="55">
        <v>4378387</v>
      </c>
      <c r="L54" s="55">
        <v>2632543</v>
      </c>
      <c r="M54" s="19">
        <f t="shared" ref="M54:M63" si="30">+K54+L54</f>
        <v>7010930</v>
      </c>
      <c r="N54" s="15"/>
      <c r="O54" s="19">
        <f t="shared" ref="O54:O63" si="31">+M54+N54</f>
        <v>7010930</v>
      </c>
      <c r="Q54" s="55">
        <v>16385448</v>
      </c>
      <c r="R54" s="55">
        <v>1354464</v>
      </c>
      <c r="S54" s="19">
        <f>+Q54+R54</f>
        <v>17739912</v>
      </c>
      <c r="T54" s="57"/>
      <c r="U54" s="19">
        <f>+S54+T54</f>
        <v>17739912</v>
      </c>
    </row>
    <row r="55" spans="1:21" x14ac:dyDescent="0.25">
      <c r="B55" t="s">
        <v>347</v>
      </c>
      <c r="E55" s="55">
        <v>0</v>
      </c>
      <c r="F55" s="55"/>
      <c r="G55" s="19">
        <f t="shared" si="28"/>
        <v>0</v>
      </c>
      <c r="H55" s="15"/>
      <c r="I55" s="19">
        <f t="shared" si="29"/>
        <v>0</v>
      </c>
      <c r="K55" s="55">
        <v>2447101</v>
      </c>
      <c r="L55" s="55">
        <v>0</v>
      </c>
      <c r="M55" s="19">
        <f t="shared" si="30"/>
        <v>2447101</v>
      </c>
      <c r="N55" s="15"/>
      <c r="O55" s="19">
        <f t="shared" si="31"/>
        <v>2447101</v>
      </c>
      <c r="Q55" s="55"/>
      <c r="R55" s="55"/>
      <c r="S55" s="19"/>
      <c r="T55" s="57"/>
      <c r="U55" s="19"/>
    </row>
    <row r="56" spans="1:21" x14ac:dyDescent="0.25">
      <c r="B56" t="s">
        <v>29</v>
      </c>
      <c r="E56" s="55"/>
      <c r="F56" s="15"/>
      <c r="G56" s="19"/>
      <c r="H56" s="15"/>
      <c r="I56" s="15"/>
      <c r="K56" s="55"/>
      <c r="L56" s="15"/>
      <c r="M56" s="19"/>
      <c r="N56" s="15"/>
      <c r="O56" s="15"/>
      <c r="Q56" s="55"/>
      <c r="R56" s="15"/>
      <c r="S56" s="19"/>
      <c r="T56" s="57"/>
      <c r="U56" s="19"/>
    </row>
    <row r="57" spans="1:21" x14ac:dyDescent="0.25">
      <c r="B57" s="37" t="s">
        <v>30</v>
      </c>
      <c r="C57" s="37"/>
      <c r="D57" s="37"/>
      <c r="E57" s="47">
        <v>0</v>
      </c>
      <c r="F57" s="55"/>
      <c r="G57" s="19">
        <f t="shared" ref="G57:G63" si="32">+E57+F57</f>
        <v>0</v>
      </c>
      <c r="H57" s="15"/>
      <c r="I57" s="19">
        <f t="shared" ref="I57:I63" si="33">+G57+H57</f>
        <v>0</v>
      </c>
      <c r="K57" s="55">
        <v>2345800</v>
      </c>
      <c r="L57" s="55"/>
      <c r="M57" s="19">
        <f t="shared" si="30"/>
        <v>2345800</v>
      </c>
      <c r="N57" s="15"/>
      <c r="O57" s="19">
        <f t="shared" si="31"/>
        <v>2345800</v>
      </c>
      <c r="Q57" s="55">
        <v>2203673</v>
      </c>
      <c r="R57" s="15"/>
      <c r="S57" s="19">
        <f t="shared" ref="S57:S65" si="34">+Q57+R57</f>
        <v>2203673</v>
      </c>
      <c r="T57" s="57"/>
      <c r="U57" s="19">
        <f t="shared" ref="U57:U63" si="35">+S57+T57</f>
        <v>2203673</v>
      </c>
    </row>
    <row r="58" spans="1:21" x14ac:dyDescent="0.25">
      <c r="B58" t="s">
        <v>201</v>
      </c>
      <c r="E58" s="55">
        <v>0</v>
      </c>
      <c r="F58" s="55"/>
      <c r="G58" s="19">
        <f t="shared" si="32"/>
        <v>0</v>
      </c>
      <c r="H58" s="15"/>
      <c r="I58" s="19">
        <f t="shared" si="33"/>
        <v>0</v>
      </c>
      <c r="K58" s="55">
        <v>10628880</v>
      </c>
      <c r="L58" s="55"/>
      <c r="M58" s="19">
        <f t="shared" si="30"/>
        <v>10628880</v>
      </c>
      <c r="N58" s="15"/>
      <c r="O58" s="19">
        <f t="shared" si="31"/>
        <v>10628880</v>
      </c>
      <c r="Q58" s="55">
        <f>10628880+2936828</f>
        <v>13565708</v>
      </c>
      <c r="R58" s="15"/>
      <c r="S58" s="19">
        <f t="shared" si="34"/>
        <v>13565708</v>
      </c>
      <c r="T58" s="57">
        <f>-AD!M30</f>
        <v>0</v>
      </c>
      <c r="U58" s="19">
        <f t="shared" si="35"/>
        <v>13565708</v>
      </c>
    </row>
    <row r="59" spans="1:21" x14ac:dyDescent="0.25">
      <c r="B59" t="s">
        <v>33</v>
      </c>
      <c r="E59" s="55">
        <v>13415188</v>
      </c>
      <c r="F59" s="55">
        <v>230650</v>
      </c>
      <c r="G59" s="19">
        <f t="shared" si="32"/>
        <v>13645838</v>
      </c>
      <c r="I59" s="19">
        <f t="shared" si="33"/>
        <v>13645838</v>
      </c>
      <c r="K59" s="55">
        <v>1086070</v>
      </c>
      <c r="L59" s="55">
        <v>524930</v>
      </c>
      <c r="M59" s="19">
        <f t="shared" si="30"/>
        <v>1611000</v>
      </c>
      <c r="N59" s="19">
        <f>-AD!I31</f>
        <v>-4546528</v>
      </c>
      <c r="O59" s="19">
        <f t="shared" si="31"/>
        <v>-2935528</v>
      </c>
      <c r="Q59" s="55">
        <f>7566828-2936828+20813206</f>
        <v>25443206</v>
      </c>
      <c r="R59" s="15"/>
      <c r="S59" s="19">
        <f t="shared" si="34"/>
        <v>25443206</v>
      </c>
      <c r="T59" s="57">
        <f>-AD!K31</f>
        <v>-2251425</v>
      </c>
      <c r="U59" s="19">
        <f t="shared" si="35"/>
        <v>23191781</v>
      </c>
    </row>
    <row r="60" spans="1:21" x14ac:dyDescent="0.25">
      <c r="B60" t="s">
        <v>348</v>
      </c>
      <c r="E60" s="55">
        <v>33856246</v>
      </c>
      <c r="F60" s="55"/>
      <c r="G60" s="19">
        <f t="shared" si="32"/>
        <v>33856246</v>
      </c>
      <c r="H60" s="19">
        <f>-AD!G30</f>
        <v>-15292925</v>
      </c>
      <c r="I60" s="19">
        <f t="shared" si="33"/>
        <v>18563321</v>
      </c>
      <c r="K60" s="55">
        <v>24796057</v>
      </c>
      <c r="L60" s="55"/>
      <c r="M60" s="19">
        <f t="shared" si="30"/>
        <v>24796057</v>
      </c>
      <c r="N60" s="19"/>
      <c r="O60" s="19">
        <f t="shared" si="31"/>
        <v>24796057</v>
      </c>
      <c r="Q60" s="55"/>
      <c r="R60" s="9"/>
      <c r="S60" s="19"/>
      <c r="T60" s="57"/>
      <c r="U60" s="19"/>
    </row>
    <row r="61" spans="1:21" x14ac:dyDescent="0.25">
      <c r="B61" t="s">
        <v>315</v>
      </c>
      <c r="E61" s="55">
        <v>8243480</v>
      </c>
      <c r="F61" s="55">
        <v>1518011</v>
      </c>
      <c r="G61" s="19">
        <f t="shared" si="32"/>
        <v>9761491</v>
      </c>
      <c r="H61" s="15"/>
      <c r="I61" s="19">
        <f t="shared" si="33"/>
        <v>9761491</v>
      </c>
      <c r="K61" s="55">
        <v>5909359</v>
      </c>
      <c r="L61" s="55">
        <v>1232741</v>
      </c>
      <c r="M61" s="19">
        <f t="shared" si="30"/>
        <v>7142100</v>
      </c>
      <c r="N61" s="15"/>
      <c r="O61" s="19">
        <f t="shared" si="31"/>
        <v>7142100</v>
      </c>
      <c r="Q61" s="55">
        <f>5140510</f>
        <v>5140510</v>
      </c>
      <c r="R61" s="55">
        <v>964717</v>
      </c>
      <c r="S61" s="19">
        <f t="shared" si="34"/>
        <v>6105227</v>
      </c>
      <c r="T61" s="57"/>
      <c r="U61" s="19">
        <f t="shared" si="35"/>
        <v>6105227</v>
      </c>
    </row>
    <row r="62" spans="1:21" x14ac:dyDescent="0.25">
      <c r="B62" t="s">
        <v>314</v>
      </c>
      <c r="E62" s="55">
        <v>2580000</v>
      </c>
      <c r="F62" s="47"/>
      <c r="G62" s="19">
        <f t="shared" si="32"/>
        <v>2580000</v>
      </c>
      <c r="H62" s="19"/>
      <c r="I62" s="19">
        <f t="shared" si="33"/>
        <v>2580000</v>
      </c>
      <c r="K62" s="55">
        <v>2580000</v>
      </c>
      <c r="L62" s="47"/>
      <c r="M62" s="19">
        <f t="shared" si="30"/>
        <v>2580000</v>
      </c>
      <c r="N62" s="19"/>
      <c r="O62" s="19">
        <f t="shared" si="31"/>
        <v>2580000</v>
      </c>
      <c r="Q62" s="55">
        <v>0</v>
      </c>
      <c r="R62" s="15"/>
      <c r="S62" s="19">
        <f t="shared" si="34"/>
        <v>0</v>
      </c>
      <c r="T62" s="57"/>
      <c r="U62" s="19">
        <f t="shared" si="35"/>
        <v>0</v>
      </c>
    </row>
    <row r="63" spans="1:21" x14ac:dyDescent="0.25">
      <c r="B63" t="s">
        <v>328</v>
      </c>
      <c r="E63" s="55">
        <v>2804159</v>
      </c>
      <c r="F63" s="19">
        <v>920040</v>
      </c>
      <c r="G63" s="19">
        <f t="shared" si="32"/>
        <v>3724199</v>
      </c>
      <c r="H63" s="15"/>
      <c r="I63" s="19">
        <f t="shared" si="33"/>
        <v>3724199</v>
      </c>
      <c r="K63" s="55"/>
      <c r="L63" s="15"/>
      <c r="M63" s="19">
        <f t="shared" si="30"/>
        <v>0</v>
      </c>
      <c r="N63" s="15"/>
      <c r="O63" s="19">
        <f t="shared" si="31"/>
        <v>0</v>
      </c>
      <c r="Q63" s="55">
        <v>772443</v>
      </c>
      <c r="R63" s="15"/>
      <c r="S63" s="25">
        <f t="shared" si="34"/>
        <v>772443</v>
      </c>
      <c r="T63" s="57"/>
      <c r="U63" s="25">
        <f t="shared" si="35"/>
        <v>772443</v>
      </c>
    </row>
    <row r="64" spans="1:21" x14ac:dyDescent="0.25">
      <c r="A64" s="1" t="s">
        <v>40</v>
      </c>
      <c r="E64" s="20">
        <f>SUM(E54:E63)</f>
        <v>62553078</v>
      </c>
      <c r="F64" s="20">
        <f>SUM(F54:F63)</f>
        <v>3577986</v>
      </c>
      <c r="G64" s="20">
        <f>SUM(G54:G63)</f>
        <v>66131064</v>
      </c>
      <c r="H64" s="20">
        <f>SUM(H54:H63)</f>
        <v>-15292925</v>
      </c>
      <c r="I64" s="20">
        <f>SUM(I54:I63)</f>
        <v>50838139</v>
      </c>
      <c r="K64" s="20">
        <f>SUM(K54:K63)</f>
        <v>54171654</v>
      </c>
      <c r="L64" s="20">
        <f>SUM(L54:L63)</f>
        <v>4390214</v>
      </c>
      <c r="M64" s="20">
        <f>SUM(M54:M63)</f>
        <v>58561868</v>
      </c>
      <c r="N64" s="20">
        <f>SUM(N54:N63)</f>
        <v>-4546528</v>
      </c>
      <c r="O64" s="20">
        <f>SUM(O54:O63)</f>
        <v>54015340</v>
      </c>
      <c r="Q64" s="20">
        <f>SUM(Q54:Q63)</f>
        <v>63510988</v>
      </c>
      <c r="R64" s="20">
        <f>SUM(R54:R63)</f>
        <v>2319181</v>
      </c>
      <c r="S64" s="20">
        <f t="shared" si="34"/>
        <v>65830169</v>
      </c>
      <c r="T64" s="20">
        <f>SUM(T54:T63)</f>
        <v>-2251425</v>
      </c>
      <c r="U64" s="20">
        <f>SUM(U54:U63)</f>
        <v>63578744</v>
      </c>
    </row>
    <row r="65" spans="1:21" x14ac:dyDescent="0.25">
      <c r="A65" s="1" t="s">
        <v>41</v>
      </c>
      <c r="E65" s="20">
        <f>E51+E64</f>
        <v>122704368</v>
      </c>
      <c r="F65" s="20">
        <f>F51+F64</f>
        <v>24566319</v>
      </c>
      <c r="G65" s="20">
        <f>G51+G64</f>
        <v>147270687</v>
      </c>
      <c r="H65" s="20">
        <f>H51+H64</f>
        <v>-34595134</v>
      </c>
      <c r="I65" s="20">
        <f>I51+I64</f>
        <v>112675553</v>
      </c>
      <c r="K65" s="20">
        <f>K51+K64</f>
        <v>120565557</v>
      </c>
      <c r="L65" s="20">
        <f>L51+L64</f>
        <v>20697452</v>
      </c>
      <c r="M65" s="20">
        <f>M51+M64</f>
        <v>141263009</v>
      </c>
      <c r="N65" s="20">
        <f>N51+N64</f>
        <v>-21317013</v>
      </c>
      <c r="O65" s="20">
        <f>O51+O64</f>
        <v>119945996</v>
      </c>
      <c r="Q65" s="20">
        <f>Q51+Q64</f>
        <v>126573375</v>
      </c>
      <c r="R65" s="20">
        <f>R51+R64</f>
        <v>11914233</v>
      </c>
      <c r="S65" s="20">
        <f t="shared" si="34"/>
        <v>138487608</v>
      </c>
      <c r="T65" s="20">
        <f>+T64+T51</f>
        <v>-10155018</v>
      </c>
      <c r="U65" s="20">
        <f>+U64+U51</f>
        <v>128332590</v>
      </c>
    </row>
    <row r="66" spans="1:21" x14ac:dyDescent="0.25">
      <c r="E66" s="15"/>
      <c r="F66" s="15"/>
      <c r="G66" s="15"/>
      <c r="H66" s="15"/>
      <c r="I66" s="15"/>
      <c r="K66" s="15"/>
      <c r="L66" s="15"/>
      <c r="M66" s="15"/>
      <c r="N66" s="15"/>
      <c r="O66" s="15"/>
      <c r="Q66" s="19"/>
      <c r="R66" s="19"/>
      <c r="S66" s="19"/>
      <c r="T66" s="19"/>
      <c r="U66" s="19"/>
    </row>
    <row r="67" spans="1:21" x14ac:dyDescent="0.25">
      <c r="A67" s="132" t="s">
        <v>42</v>
      </c>
      <c r="B67" s="37"/>
      <c r="C67" s="37"/>
      <c r="D67" s="37"/>
      <c r="E67" s="43"/>
      <c r="F67" s="43"/>
      <c r="G67" s="43"/>
      <c r="H67" s="43"/>
      <c r="I67" s="43"/>
      <c r="J67" s="37"/>
      <c r="K67" s="43"/>
      <c r="L67" s="43"/>
      <c r="M67" s="43"/>
      <c r="N67" s="43"/>
      <c r="O67" s="43"/>
      <c r="P67" s="37"/>
      <c r="Q67" s="36"/>
      <c r="R67" s="36"/>
      <c r="S67" s="36"/>
      <c r="T67" s="36"/>
      <c r="U67" s="36"/>
    </row>
    <row r="68" spans="1:21" x14ac:dyDescent="0.25">
      <c r="A68" s="37"/>
      <c r="B68" s="37" t="s">
        <v>43</v>
      </c>
      <c r="C68" s="37"/>
      <c r="D68" s="41">
        <f>+E68-PAT!F24</f>
        <v>0</v>
      </c>
      <c r="E68" s="47">
        <f>+PAT!F24</f>
        <v>37143362</v>
      </c>
      <c r="F68" s="47">
        <v>13159302</v>
      </c>
      <c r="G68" s="36">
        <f>+E68+F68</f>
        <v>50302664</v>
      </c>
      <c r="H68" s="43"/>
      <c r="I68" s="36">
        <f t="shared" ref="I68:I70" si="36">+G68+H68</f>
        <v>50302664</v>
      </c>
      <c r="J68" s="37"/>
      <c r="K68" s="47">
        <f>+PAT!F21</f>
        <v>35042687</v>
      </c>
      <c r="L68" s="47">
        <f>+PAT!G21</f>
        <v>13159302</v>
      </c>
      <c r="M68" s="36">
        <f>+K68+L68</f>
        <v>48201989</v>
      </c>
      <c r="N68" s="43"/>
      <c r="O68" s="36">
        <f t="shared" ref="O68:O70" si="37">+M68+N68</f>
        <v>48201989</v>
      </c>
      <c r="P68" s="37"/>
      <c r="Q68" s="47">
        <f>+PAT!F19</f>
        <v>30006697</v>
      </c>
      <c r="R68" s="47">
        <f>+PAT!G19</f>
        <v>11015563</v>
      </c>
      <c r="S68" s="36">
        <f t="shared" ref="S68:S73" si="38">+Q68+R68</f>
        <v>41022260</v>
      </c>
      <c r="T68" s="36"/>
      <c r="U68" s="36">
        <f>+S68+T68</f>
        <v>41022260</v>
      </c>
    </row>
    <row r="69" spans="1:21" x14ac:dyDescent="0.25">
      <c r="A69" s="37"/>
      <c r="B69" s="37" t="s">
        <v>44</v>
      </c>
      <c r="C69" s="37"/>
      <c r="D69" s="41">
        <f>+E69-PAT!F38</f>
        <v>0</v>
      </c>
      <c r="E69" s="47">
        <f>+PAT!F38</f>
        <v>6115920</v>
      </c>
      <c r="F69" s="47"/>
      <c r="G69" s="36">
        <f t="shared" ref="G69:G71" si="39">+E69+F69</f>
        <v>6115920</v>
      </c>
      <c r="H69" s="43"/>
      <c r="I69" s="36">
        <f t="shared" si="36"/>
        <v>6115920</v>
      </c>
      <c r="J69" s="37"/>
      <c r="K69" s="47">
        <f>+PAT!F36</f>
        <v>920</v>
      </c>
      <c r="L69" s="47">
        <f>+PAT!G36</f>
        <v>0</v>
      </c>
      <c r="M69" s="36">
        <f t="shared" ref="M69:M71" si="40">+K69+L69</f>
        <v>920</v>
      </c>
      <c r="N69" s="43"/>
      <c r="O69" s="36">
        <f t="shared" si="37"/>
        <v>920</v>
      </c>
      <c r="P69" s="37"/>
      <c r="Q69" s="47">
        <f>+PAT!F35</f>
        <v>920</v>
      </c>
      <c r="R69" s="47">
        <f>+PAT!G35</f>
        <v>0</v>
      </c>
      <c r="S69" s="36">
        <f t="shared" si="38"/>
        <v>920</v>
      </c>
      <c r="T69" s="36"/>
      <c r="U69" s="36">
        <f>+S69+T69</f>
        <v>920</v>
      </c>
    </row>
    <row r="70" spans="1:21" x14ac:dyDescent="0.25">
      <c r="A70" s="37"/>
      <c r="B70" s="37" t="s">
        <v>45</v>
      </c>
      <c r="C70" s="37"/>
      <c r="D70" s="41">
        <f>+E70-PAT!F55-PAT!F63</f>
        <v>0</v>
      </c>
      <c r="E70" s="47">
        <f>+PAT!F64</f>
        <v>6170159</v>
      </c>
      <c r="F70" s="47">
        <v>2026031</v>
      </c>
      <c r="G70" s="36">
        <f t="shared" si="39"/>
        <v>8196190</v>
      </c>
      <c r="H70" s="47"/>
      <c r="I70" s="36">
        <f t="shared" si="36"/>
        <v>8196190</v>
      </c>
      <c r="J70" s="37"/>
      <c r="K70" s="47">
        <f>+PAT!F53+PAT!F62</f>
        <v>5257306</v>
      </c>
      <c r="L70" s="47">
        <f>+PAT!G53+PAT!G62</f>
        <v>1566076</v>
      </c>
      <c r="M70" s="36">
        <f t="shared" si="40"/>
        <v>6823382</v>
      </c>
      <c r="N70" s="47">
        <f>+PAT!I64</f>
        <v>0</v>
      </c>
      <c r="O70" s="36">
        <f t="shared" si="37"/>
        <v>6823382</v>
      </c>
      <c r="P70" s="37"/>
      <c r="Q70" s="47">
        <f>+PAT!F51+PAT!F61</f>
        <v>4697751</v>
      </c>
      <c r="R70" s="47">
        <f>+PAT!G51+PAT!G61+PAT!G70-1</f>
        <v>1651249</v>
      </c>
      <c r="S70" s="36">
        <f t="shared" si="38"/>
        <v>6349000</v>
      </c>
      <c r="T70" s="36"/>
      <c r="U70" s="36">
        <f>+S70+T70</f>
        <v>6349000</v>
      </c>
    </row>
    <row r="71" spans="1:21" x14ac:dyDescent="0.25">
      <c r="A71" s="37"/>
      <c r="B71" s="37" t="s">
        <v>46</v>
      </c>
      <c r="C71" s="37"/>
      <c r="D71" s="41">
        <f>+E71-PAT!F72-PAT!F80-PAT!F137-PAT!F95</f>
        <v>0</v>
      </c>
      <c r="E71" s="143">
        <f>+PAT!F138</f>
        <v>38836240.449999988</v>
      </c>
      <c r="F71" s="143">
        <v>5815726</v>
      </c>
      <c r="G71" s="36">
        <f t="shared" si="39"/>
        <v>44651966.449999988</v>
      </c>
      <c r="H71" s="143">
        <f>PAT!I173</f>
        <v>-9763133.3382520005</v>
      </c>
      <c r="I71" s="36">
        <f>+G71+H71-1</f>
        <v>34888832.111747988</v>
      </c>
      <c r="J71" s="37"/>
      <c r="K71" s="143">
        <f>+PAT!F71+PAT!F79+PAT!F93+PAT!F131</f>
        <v>41106066.449999988</v>
      </c>
      <c r="L71" s="143">
        <f>+PAT!G71+PAT!G79+PAT!G93+PAT!G131</f>
        <v>2683535</v>
      </c>
      <c r="M71" s="36">
        <f t="shared" si="40"/>
        <v>43789601.449999988</v>
      </c>
      <c r="N71" s="143">
        <f>+PAT!I71+PAT!I79+PAT!I93+PAT!I131</f>
        <v>-11525237.088252001</v>
      </c>
      <c r="O71" s="36">
        <f>+M71+N71-1</f>
        <v>32264363.361747988</v>
      </c>
      <c r="P71" s="37"/>
      <c r="Q71" s="47">
        <f>+PAT!F70+PAT!F78+PAT!F91+PAT!F124</f>
        <v>36135934</v>
      </c>
      <c r="R71" s="47">
        <f>+PAT!G78+PAT!G124+PAT!G91</f>
        <v>1584690</v>
      </c>
      <c r="S71" s="36">
        <f>+Q71+R71</f>
        <v>37720624</v>
      </c>
      <c r="T71" s="36">
        <f>+PAT!I124</f>
        <v>-14609377.588252001</v>
      </c>
      <c r="U71" s="36">
        <f>+S71+T71</f>
        <v>23111246.411747999</v>
      </c>
    </row>
    <row r="72" spans="1:21" x14ac:dyDescent="0.25">
      <c r="A72" s="132" t="s">
        <v>47</v>
      </c>
      <c r="B72" s="37"/>
      <c r="C72" s="37"/>
      <c r="D72" s="37"/>
      <c r="E72" s="44">
        <f>SUM(E68:E71)</f>
        <v>88265681.449999988</v>
      </c>
      <c r="F72" s="44">
        <f>SUM(F68:F71)</f>
        <v>21001059</v>
      </c>
      <c r="G72" s="44">
        <f>SUM(G68:G71)</f>
        <v>109266740.44999999</v>
      </c>
      <c r="H72" s="44">
        <f>SUM(H68:H71)</f>
        <v>-9763133.3382520005</v>
      </c>
      <c r="I72" s="44">
        <f>SUM(I68:I71)</f>
        <v>99503606.11174798</v>
      </c>
      <c r="J72" s="37"/>
      <c r="K72" s="44">
        <f>SUM(K68:K71)</f>
        <v>81406979.449999988</v>
      </c>
      <c r="L72" s="44">
        <f>SUM(L68:L71)</f>
        <v>17408913</v>
      </c>
      <c r="M72" s="44">
        <f>SUM(M68:M71)</f>
        <v>98815892.449999988</v>
      </c>
      <c r="N72" s="44">
        <f>SUM(N68:N71)</f>
        <v>-11525237.088252001</v>
      </c>
      <c r="O72" s="44">
        <f>SUM(O68:O71)</f>
        <v>87290654.36174798</v>
      </c>
      <c r="P72" s="37"/>
      <c r="Q72" s="44">
        <f>SUM(Q68:Q71)</f>
        <v>70841302</v>
      </c>
      <c r="R72" s="44">
        <f>SUM(R68:R71)</f>
        <v>14251502</v>
      </c>
      <c r="S72" s="44">
        <f t="shared" si="38"/>
        <v>85092804</v>
      </c>
      <c r="T72" s="44">
        <f>SUM(T68:T71)</f>
        <v>-14609377.588252001</v>
      </c>
      <c r="U72" s="44">
        <f>SUM(U68:U71)</f>
        <v>70483426.411747992</v>
      </c>
    </row>
    <row r="73" spans="1:21" x14ac:dyDescent="0.25">
      <c r="A73" s="132" t="s">
        <v>48</v>
      </c>
      <c r="B73" s="37"/>
      <c r="C73" s="37"/>
      <c r="D73" s="37"/>
      <c r="E73" s="49">
        <f>+E72+E65</f>
        <v>210970049.44999999</v>
      </c>
      <c r="F73" s="49">
        <f>+F72+F65</f>
        <v>45567378</v>
      </c>
      <c r="G73" s="49">
        <f>+G72+G65</f>
        <v>256537427.44999999</v>
      </c>
      <c r="H73" s="49">
        <f>+H72+H65</f>
        <v>-44358267.338252001</v>
      </c>
      <c r="I73" s="49">
        <f>+I72+I65</f>
        <v>212179159.11174798</v>
      </c>
      <c r="J73" s="37"/>
      <c r="K73" s="49">
        <f>+K72+K65</f>
        <v>201972536.44999999</v>
      </c>
      <c r="L73" s="49">
        <f>+L72+L65</f>
        <v>38106365</v>
      </c>
      <c r="M73" s="49">
        <f>+M72+M65</f>
        <v>240078901.44999999</v>
      </c>
      <c r="N73" s="49">
        <f>+N72+N65</f>
        <v>-32842250.088252001</v>
      </c>
      <c r="O73" s="49">
        <f>+O72+O65</f>
        <v>207236650.36174798</v>
      </c>
      <c r="P73" s="37"/>
      <c r="Q73" s="49">
        <f>+Q72+Q65</f>
        <v>197414677</v>
      </c>
      <c r="R73" s="49">
        <f>+R72+R65</f>
        <v>26165735</v>
      </c>
      <c r="S73" s="49">
        <f t="shared" si="38"/>
        <v>223580412</v>
      </c>
      <c r="T73" s="49">
        <f>+T65+T72</f>
        <v>-24764395.588252001</v>
      </c>
      <c r="U73" s="49">
        <f>+U72+U65</f>
        <v>198816016.41174799</v>
      </c>
    </row>
    <row r="74" spans="1:21" s="152" customFormat="1" ht="11.25" x14ac:dyDescent="0.2">
      <c r="A74" s="150"/>
      <c r="B74" s="150"/>
      <c r="C74" s="150"/>
      <c r="D74" s="150"/>
      <c r="E74" s="151">
        <f>+E73-E34</f>
        <v>0.44999998807907104</v>
      </c>
      <c r="F74" s="151">
        <f>+F73-F34</f>
        <v>0</v>
      </c>
      <c r="G74" s="151">
        <f>+G73-G34</f>
        <v>0.44999998807907104</v>
      </c>
      <c r="H74" s="151">
        <f>+H73-H34</f>
        <v>0.41514799743890762</v>
      </c>
      <c r="I74" s="151">
        <f>+I73-I34</f>
        <v>-0.13485202193260193</v>
      </c>
      <c r="J74" s="150"/>
      <c r="K74" s="151">
        <f>+K73-K34</f>
        <v>0.35999998450279236</v>
      </c>
      <c r="L74" s="151">
        <f>+L73-L34</f>
        <v>0</v>
      </c>
      <c r="M74" s="151">
        <f>+M73-M34</f>
        <v>0.35999998450279236</v>
      </c>
      <c r="N74" s="151">
        <f>+N73-N34</f>
        <v>0.41514800116419792</v>
      </c>
      <c r="O74" s="151">
        <f>+O73-O34</f>
        <v>-0.22485202550888062</v>
      </c>
      <c r="P74" s="150"/>
      <c r="Q74" s="151">
        <f>+Q73-Q34</f>
        <v>0</v>
      </c>
      <c r="R74" s="151">
        <f>+R73-R34</f>
        <v>0</v>
      </c>
      <c r="S74" s="151">
        <f>+S73-S34</f>
        <v>0</v>
      </c>
      <c r="T74" s="151">
        <f>+T73-T34</f>
        <v>0</v>
      </c>
      <c r="U74" s="151">
        <f>+U73-U34</f>
        <v>0</v>
      </c>
    </row>
    <row r="75" spans="1:21" x14ac:dyDescent="0.25">
      <c r="N75" s="35"/>
    </row>
    <row r="76" spans="1:21" x14ac:dyDescent="0.25">
      <c r="N76" s="35"/>
    </row>
    <row r="78" spans="1:21" x14ac:dyDescent="0.25">
      <c r="K78" s="59" t="s">
        <v>250</v>
      </c>
      <c r="L78" s="59"/>
      <c r="M78" s="59"/>
    </row>
    <row r="79" spans="1:21" x14ac:dyDescent="0.25">
      <c r="K79" s="4" t="s">
        <v>251</v>
      </c>
      <c r="L79" s="4"/>
      <c r="M79" s="4"/>
    </row>
  </sheetData>
  <mergeCells count="1">
    <mergeCell ref="A20:C20"/>
  </mergeCells>
  <pageMargins left="0.7" right="0.7" top="0.75" bottom="0.75" header="0.3" footer="0.3"/>
  <pageSetup scale="70" orientation="landscape" r:id="rId1"/>
  <colBreaks count="1" manualBreakCount="1">
    <brk id="21" max="6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98" zoomScaleNormal="98" workbookViewId="0">
      <pane xSplit="3" ySplit="5" topLeftCell="D26" activePane="bottomRight" state="frozen"/>
      <selection pane="topRight" activeCell="D1" sqref="D1"/>
      <selection pane="bottomLeft" activeCell="A6" sqref="A6"/>
      <selection pane="bottomRight" activeCell="G9" sqref="G9"/>
    </sheetView>
  </sheetViews>
  <sheetFormatPr defaultColWidth="11.42578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2.28515625" bestFit="1" customWidth="1"/>
    <col min="8" max="8" width="13.7109375" bestFit="1"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bestFit="1" customWidth="1"/>
    <col min="24" max="24" width="12.7109375" customWidth="1"/>
    <col min="25" max="25" width="12.28515625" bestFit="1" customWidth="1"/>
  </cols>
  <sheetData>
    <row r="1" spans="1:20" x14ac:dyDescent="0.25">
      <c r="A1" s="2" t="s">
        <v>0</v>
      </c>
    </row>
    <row r="2" spans="1:20" x14ac:dyDescent="0.25">
      <c r="A2" s="1" t="s">
        <v>142</v>
      </c>
    </row>
    <row r="3" spans="1:20" x14ac:dyDescent="0.25">
      <c r="A3" s="1" t="s">
        <v>339</v>
      </c>
      <c r="D3" s="58"/>
      <c r="E3" s="12"/>
      <c r="F3" s="12"/>
      <c r="G3" s="12"/>
      <c r="H3" s="12"/>
      <c r="P3" s="58"/>
      <c r="Q3" s="12"/>
      <c r="R3" s="12"/>
      <c r="S3" s="12"/>
      <c r="T3" s="12"/>
    </row>
    <row r="4" spans="1:20" x14ac:dyDescent="0.25">
      <c r="A4" s="3" t="s">
        <v>17</v>
      </c>
      <c r="D4" s="19"/>
      <c r="E4" s="15"/>
      <c r="F4" s="15"/>
      <c r="G4" s="16" t="s">
        <v>50</v>
      </c>
      <c r="H4" s="16">
        <v>2019</v>
      </c>
      <c r="J4" s="22"/>
      <c r="K4" s="14"/>
      <c r="L4" s="14"/>
      <c r="M4" s="92" t="s">
        <v>50</v>
      </c>
      <c r="N4" s="92">
        <v>2018</v>
      </c>
      <c r="P4" s="19"/>
      <c r="Q4" s="15"/>
      <c r="R4" s="15"/>
      <c r="S4" s="16" t="s">
        <v>50</v>
      </c>
      <c r="T4" s="16">
        <v>2017</v>
      </c>
    </row>
    <row r="5" spans="1:20" x14ac:dyDescent="0.25">
      <c r="D5" s="23" t="s">
        <v>14</v>
      </c>
      <c r="E5" s="17" t="s">
        <v>15</v>
      </c>
      <c r="F5" s="17" t="s">
        <v>16</v>
      </c>
      <c r="G5" s="18" t="s">
        <v>143</v>
      </c>
      <c r="H5" s="17" t="s">
        <v>144</v>
      </c>
      <c r="J5" s="23" t="s">
        <v>14</v>
      </c>
      <c r="K5" s="17" t="s">
        <v>15</v>
      </c>
      <c r="L5" s="17" t="s">
        <v>16</v>
      </c>
      <c r="M5" s="17" t="s">
        <v>143</v>
      </c>
      <c r="N5" s="17" t="s">
        <v>144</v>
      </c>
      <c r="P5" s="23" t="s">
        <v>14</v>
      </c>
      <c r="Q5" s="17" t="s">
        <v>15</v>
      </c>
      <c r="R5" s="17" t="s">
        <v>16</v>
      </c>
      <c r="S5" s="18" t="s">
        <v>143</v>
      </c>
      <c r="T5" s="17" t="s">
        <v>144</v>
      </c>
    </row>
    <row r="6" spans="1:20" x14ac:dyDescent="0.25">
      <c r="D6" s="19"/>
      <c r="E6" s="15"/>
      <c r="F6" s="15"/>
      <c r="G6" s="15"/>
      <c r="H6" s="15"/>
      <c r="J6" s="19"/>
      <c r="K6" s="15"/>
      <c r="L6" s="15"/>
      <c r="M6" s="15"/>
      <c r="N6" s="15"/>
      <c r="P6" s="19"/>
      <c r="Q6" s="15"/>
      <c r="R6" s="15"/>
      <c r="S6" s="15"/>
      <c r="T6" s="15"/>
    </row>
    <row r="7" spans="1:20" x14ac:dyDescent="0.25">
      <c r="A7" t="s">
        <v>51</v>
      </c>
      <c r="D7" s="19">
        <v>189089112</v>
      </c>
      <c r="E7" s="19">
        <v>136513946</v>
      </c>
      <c r="F7" s="19">
        <f>+D7+E7</f>
        <v>325603058</v>
      </c>
      <c r="G7" s="19">
        <f>-AD!G7-AD!G22</f>
        <v>-93140935</v>
      </c>
      <c r="H7" s="19">
        <f>+F7+G7</f>
        <v>232462123</v>
      </c>
      <c r="J7" s="19">
        <v>159047272.44999999</v>
      </c>
      <c r="K7" s="19">
        <v>102550885</v>
      </c>
      <c r="L7" s="19">
        <f t="shared" ref="L7:L8" si="0">+J7+K7</f>
        <v>261598157.44999999</v>
      </c>
      <c r="M7" s="19">
        <f>-AD!I7-AD!I22</f>
        <v>-74964912</v>
      </c>
      <c r="N7" s="19">
        <f>+L7+M7</f>
        <v>186633245.44999999</v>
      </c>
      <c r="P7" s="19">
        <v>152924768</v>
      </c>
      <c r="Q7" s="19">
        <v>73699302</v>
      </c>
      <c r="R7" s="19">
        <f>+P7+Q7</f>
        <v>226624070</v>
      </c>
      <c r="S7" s="19">
        <f>-AD!K7-AD!K22</f>
        <v>-52109713</v>
      </c>
      <c r="T7" s="19">
        <f>+R7+S7</f>
        <v>174514357</v>
      </c>
    </row>
    <row r="8" spans="1:20" x14ac:dyDescent="0.25">
      <c r="A8" t="s">
        <v>52</v>
      </c>
      <c r="D8" s="19">
        <v>-119055718</v>
      </c>
      <c r="E8" s="19">
        <v>-104336370</v>
      </c>
      <c r="F8" s="19">
        <f>+D8+E8</f>
        <v>-223392088</v>
      </c>
      <c r="G8" s="19">
        <f>+AD!H9+AD!H24+AD!H41</f>
        <v>94574016</v>
      </c>
      <c r="H8" s="19">
        <f>+F8+G8</f>
        <v>-128818072</v>
      </c>
      <c r="J8" s="19">
        <v>-103569767</v>
      </c>
      <c r="K8" s="19">
        <v>-78484726</v>
      </c>
      <c r="L8" s="19">
        <f t="shared" si="0"/>
        <v>-182054493</v>
      </c>
      <c r="M8" s="19">
        <f>+AD!J9+AD!J24+AD!J41+AD!J51</f>
        <v>78864082</v>
      </c>
      <c r="N8" s="19">
        <f>+L8+M8</f>
        <v>-103190411</v>
      </c>
      <c r="P8" s="19">
        <v>-71809934</v>
      </c>
      <c r="Q8" s="19">
        <v>-55517093</v>
      </c>
      <c r="R8" s="19">
        <f>+P8+Q8</f>
        <v>-127327027</v>
      </c>
      <c r="S8" s="19">
        <f>+AD!L9+AD!L24+AD!L41</f>
        <v>53367742</v>
      </c>
      <c r="T8" s="19">
        <f>+R8+S8</f>
        <v>-73959285</v>
      </c>
    </row>
    <row r="9" spans="1:20" x14ac:dyDescent="0.25">
      <c r="A9" t="s">
        <v>53</v>
      </c>
      <c r="D9" s="20">
        <f>+D7+D8</f>
        <v>70033394</v>
      </c>
      <c r="E9" s="20">
        <f>+E7+E8</f>
        <v>32177576</v>
      </c>
      <c r="F9" s="20">
        <f>+F7+F8</f>
        <v>102210970</v>
      </c>
      <c r="G9" s="20">
        <f>+G7+G8</f>
        <v>1433081</v>
      </c>
      <c r="H9" s="20">
        <f>+H7+H8</f>
        <v>103644051</v>
      </c>
      <c r="J9" s="20">
        <f>+J7+J8</f>
        <v>55477505.449999988</v>
      </c>
      <c r="K9" s="20">
        <f>+K7+K8</f>
        <v>24066159</v>
      </c>
      <c r="L9" s="20">
        <f>+L7+L8</f>
        <v>79543664.449999988</v>
      </c>
      <c r="M9" s="20">
        <f>+M7+M8</f>
        <v>3899170</v>
      </c>
      <c r="N9" s="20">
        <f>+N7+N8</f>
        <v>83442834.449999988</v>
      </c>
      <c r="P9" s="20">
        <f>+P7+P8</f>
        <v>81114834</v>
      </c>
      <c r="Q9" s="20">
        <f>+Q7+Q8</f>
        <v>18182209</v>
      </c>
      <c r="R9" s="20">
        <f>+R7+R8</f>
        <v>99297043</v>
      </c>
      <c r="S9" s="20">
        <f>+S7+S8</f>
        <v>1258029</v>
      </c>
      <c r="T9" s="20">
        <f>+T7+T8</f>
        <v>100555072</v>
      </c>
    </row>
    <row r="10" spans="1:20" x14ac:dyDescent="0.25">
      <c r="D10" s="19"/>
      <c r="E10" s="19"/>
      <c r="F10" s="19"/>
      <c r="G10" s="19"/>
      <c r="H10" s="19"/>
      <c r="J10" s="19"/>
      <c r="K10" s="19"/>
      <c r="L10" s="19"/>
      <c r="M10" s="19"/>
      <c r="N10" s="19"/>
      <c r="P10" s="19"/>
      <c r="Q10" s="19"/>
      <c r="R10" s="19"/>
      <c r="S10" s="19"/>
      <c r="T10" s="19"/>
    </row>
    <row r="11" spans="1:20" x14ac:dyDescent="0.25">
      <c r="A11" t="s">
        <v>199</v>
      </c>
      <c r="D11" s="19">
        <v>-41266215</v>
      </c>
      <c r="E11" s="19">
        <f>-6284043-16081504+1692982</f>
        <v>-20672565</v>
      </c>
      <c r="F11" s="19">
        <f>+D11+E11</f>
        <v>-61938780</v>
      </c>
      <c r="G11" s="19"/>
      <c r="H11" s="25">
        <f t="shared" ref="H11:H26" si="1">+F11+G11</f>
        <v>-61938780</v>
      </c>
      <c r="J11" s="25"/>
      <c r="K11" s="25"/>
      <c r="L11" s="25"/>
      <c r="M11" s="25"/>
      <c r="N11" s="25">
        <f t="shared" ref="N11:N26" si="2">+L11+M11</f>
        <v>0</v>
      </c>
      <c r="P11" s="19">
        <v>-63291970</v>
      </c>
      <c r="Q11" s="19">
        <v>-14726048</v>
      </c>
      <c r="R11" s="19">
        <f>+P11+Q11</f>
        <v>-78018018</v>
      </c>
      <c r="S11" s="19"/>
      <c r="T11" s="25">
        <f t="shared" ref="T11:T26" si="3">+R11+S11</f>
        <v>-78018018</v>
      </c>
    </row>
    <row r="12" spans="1:20" hidden="1" outlineLevel="1" x14ac:dyDescent="0.25">
      <c r="A12" t="s">
        <v>59</v>
      </c>
      <c r="D12" s="19"/>
      <c r="E12" s="19"/>
      <c r="F12" s="19">
        <f t="shared" ref="F12:F25" si="4">+D12+E12</f>
        <v>0</v>
      </c>
      <c r="G12" s="19"/>
      <c r="H12" s="19">
        <f t="shared" si="1"/>
        <v>0</v>
      </c>
      <c r="J12" s="19"/>
      <c r="K12" s="19"/>
      <c r="L12" s="19"/>
      <c r="M12" s="19"/>
      <c r="N12" s="19">
        <f t="shared" si="2"/>
        <v>0</v>
      </c>
      <c r="P12" s="19"/>
      <c r="Q12" s="19"/>
      <c r="R12" s="19">
        <f t="shared" ref="R12:R25" si="5">+P12+Q12</f>
        <v>0</v>
      </c>
      <c r="S12" s="19"/>
      <c r="T12" s="19">
        <f t="shared" si="3"/>
        <v>0</v>
      </c>
    </row>
    <row r="13" spans="1:20" hidden="1" outlineLevel="1" x14ac:dyDescent="0.25">
      <c r="A13" t="s">
        <v>64</v>
      </c>
      <c r="D13" s="19"/>
      <c r="E13" s="19"/>
      <c r="F13" s="19">
        <f t="shared" si="4"/>
        <v>0</v>
      </c>
      <c r="G13" s="19"/>
      <c r="H13" s="19">
        <f t="shared" si="1"/>
        <v>0</v>
      </c>
      <c r="J13" s="19"/>
      <c r="K13" s="19"/>
      <c r="L13" s="19"/>
      <c r="M13" s="19"/>
      <c r="N13" s="19">
        <f t="shared" si="2"/>
        <v>0</v>
      </c>
      <c r="P13" s="19"/>
      <c r="Q13" s="19"/>
      <c r="R13" s="19">
        <f t="shared" si="5"/>
        <v>0</v>
      </c>
      <c r="S13" s="19"/>
      <c r="T13" s="19">
        <f t="shared" si="3"/>
        <v>0</v>
      </c>
    </row>
    <row r="14" spans="1:20" hidden="1" outlineLevel="1" x14ac:dyDescent="0.25">
      <c r="A14" t="s">
        <v>61</v>
      </c>
      <c r="D14" s="19"/>
      <c r="E14" s="19"/>
      <c r="F14" s="19">
        <f t="shared" si="4"/>
        <v>0</v>
      </c>
      <c r="G14" s="19"/>
      <c r="H14" s="19">
        <f t="shared" si="1"/>
        <v>0</v>
      </c>
      <c r="J14" s="19"/>
      <c r="K14" s="19"/>
      <c r="L14" s="19"/>
      <c r="M14" s="19"/>
      <c r="N14" s="19">
        <f t="shared" si="2"/>
        <v>0</v>
      </c>
      <c r="P14" s="19"/>
      <c r="Q14" s="19"/>
      <c r="R14" s="19">
        <f t="shared" si="5"/>
        <v>0</v>
      </c>
      <c r="S14" s="19"/>
      <c r="T14" s="19">
        <f t="shared" si="3"/>
        <v>0</v>
      </c>
    </row>
    <row r="15" spans="1:20" hidden="1" outlineLevel="1" x14ac:dyDescent="0.25">
      <c r="A15" t="s">
        <v>60</v>
      </c>
      <c r="D15" s="19"/>
      <c r="E15" s="19"/>
      <c r="F15" s="19">
        <f t="shared" si="4"/>
        <v>0</v>
      </c>
      <c r="G15" s="19"/>
      <c r="H15" s="19">
        <f t="shared" si="1"/>
        <v>0</v>
      </c>
      <c r="J15" s="19"/>
      <c r="K15" s="19"/>
      <c r="L15" s="19"/>
      <c r="M15" s="19"/>
      <c r="N15" s="19">
        <f t="shared" si="2"/>
        <v>0</v>
      </c>
      <c r="P15" s="19"/>
      <c r="Q15" s="19"/>
      <c r="R15" s="19">
        <f t="shared" si="5"/>
        <v>0</v>
      </c>
      <c r="S15" s="19"/>
      <c r="T15" s="19">
        <f t="shared" si="3"/>
        <v>0</v>
      </c>
    </row>
    <row r="16" spans="1:20" hidden="1" outlineLevel="1" x14ac:dyDescent="0.25">
      <c r="A16" t="s">
        <v>95</v>
      </c>
      <c r="D16" s="19"/>
      <c r="E16" s="19"/>
      <c r="F16" s="19">
        <f t="shared" si="4"/>
        <v>0</v>
      </c>
      <c r="G16" s="19"/>
      <c r="H16" s="19">
        <f t="shared" si="1"/>
        <v>0</v>
      </c>
      <c r="J16" s="19"/>
      <c r="K16" s="19"/>
      <c r="L16" s="19"/>
      <c r="M16" s="19"/>
      <c r="N16" s="19">
        <f t="shared" si="2"/>
        <v>0</v>
      </c>
      <c r="P16" s="19"/>
      <c r="Q16" s="19"/>
      <c r="R16" s="19">
        <f t="shared" si="5"/>
        <v>0</v>
      </c>
      <c r="S16" s="19"/>
      <c r="T16" s="19">
        <f t="shared" si="3"/>
        <v>0</v>
      </c>
    </row>
    <row r="17" spans="1:20" hidden="1" outlineLevel="1" x14ac:dyDescent="0.25">
      <c r="A17" t="s">
        <v>63</v>
      </c>
      <c r="D17" s="19"/>
      <c r="E17" s="19"/>
      <c r="F17" s="19">
        <f t="shared" si="4"/>
        <v>0</v>
      </c>
      <c r="G17" s="19"/>
      <c r="H17" s="19">
        <f t="shared" si="1"/>
        <v>0</v>
      </c>
      <c r="J17" s="19"/>
      <c r="K17" s="19"/>
      <c r="L17" s="19"/>
      <c r="M17" s="19"/>
      <c r="N17" s="19">
        <f t="shared" si="2"/>
        <v>0</v>
      </c>
      <c r="P17" s="19"/>
      <c r="Q17" s="19"/>
      <c r="R17" s="19">
        <f t="shared" si="5"/>
        <v>0</v>
      </c>
      <c r="S17" s="19"/>
      <c r="T17" s="19">
        <f t="shared" si="3"/>
        <v>0</v>
      </c>
    </row>
    <row r="18" spans="1:20" hidden="1" outlineLevel="1" x14ac:dyDescent="0.25">
      <c r="A18" t="s">
        <v>62</v>
      </c>
      <c r="D18" s="19"/>
      <c r="E18" s="19"/>
      <c r="F18" s="19">
        <f t="shared" si="4"/>
        <v>0</v>
      </c>
      <c r="G18" s="19"/>
      <c r="H18" s="19">
        <f t="shared" si="1"/>
        <v>0</v>
      </c>
      <c r="J18" s="19"/>
      <c r="K18" s="19"/>
      <c r="L18" s="19"/>
      <c r="M18" s="19"/>
      <c r="N18" s="19">
        <f t="shared" si="2"/>
        <v>0</v>
      </c>
      <c r="P18" s="19"/>
      <c r="Q18" s="19"/>
      <c r="R18" s="19">
        <f t="shared" si="5"/>
        <v>0</v>
      </c>
      <c r="S18" s="19"/>
      <c r="T18" s="19">
        <f t="shared" si="3"/>
        <v>0</v>
      </c>
    </row>
    <row r="19" spans="1:20" hidden="1" outlineLevel="1" x14ac:dyDescent="0.25">
      <c r="A19" t="s">
        <v>66</v>
      </c>
      <c r="D19" s="19"/>
      <c r="E19" s="19"/>
      <c r="F19" s="19">
        <f t="shared" si="4"/>
        <v>0</v>
      </c>
      <c r="G19" s="19"/>
      <c r="H19" s="19">
        <f t="shared" si="1"/>
        <v>0</v>
      </c>
      <c r="J19" s="19"/>
      <c r="K19" s="19"/>
      <c r="L19" s="19"/>
      <c r="M19" s="19"/>
      <c r="N19" s="19">
        <f t="shared" si="2"/>
        <v>0</v>
      </c>
      <c r="P19" s="19"/>
      <c r="Q19" s="19"/>
      <c r="R19" s="19">
        <f t="shared" si="5"/>
        <v>0</v>
      </c>
      <c r="S19" s="19"/>
      <c r="T19" s="19">
        <f t="shared" si="3"/>
        <v>0</v>
      </c>
    </row>
    <row r="20" spans="1:20" hidden="1" outlineLevel="1" x14ac:dyDescent="0.25">
      <c r="A20" t="s">
        <v>65</v>
      </c>
      <c r="D20" s="19"/>
      <c r="E20" s="19"/>
      <c r="F20" s="19">
        <f t="shared" si="4"/>
        <v>0</v>
      </c>
      <c r="G20" s="19"/>
      <c r="H20" s="19">
        <f t="shared" si="1"/>
        <v>0</v>
      </c>
      <c r="J20" s="19"/>
      <c r="K20" s="19"/>
      <c r="L20" s="19"/>
      <c r="M20" s="19"/>
      <c r="N20" s="19">
        <f t="shared" si="2"/>
        <v>0</v>
      </c>
      <c r="P20" s="19"/>
      <c r="Q20" s="19"/>
      <c r="R20" s="19">
        <f t="shared" si="5"/>
        <v>0</v>
      </c>
      <c r="S20" s="19"/>
      <c r="T20" s="19">
        <f t="shared" si="3"/>
        <v>0</v>
      </c>
    </row>
    <row r="21" spans="1:20" hidden="1" outlineLevel="1" x14ac:dyDescent="0.25">
      <c r="A21" t="s">
        <v>68</v>
      </c>
      <c r="D21" s="19"/>
      <c r="E21" s="19"/>
      <c r="F21" s="19">
        <f t="shared" si="4"/>
        <v>0</v>
      </c>
      <c r="G21" s="19"/>
      <c r="H21" s="19">
        <f t="shared" si="1"/>
        <v>0</v>
      </c>
      <c r="J21" s="19"/>
      <c r="K21" s="19"/>
      <c r="L21" s="19"/>
      <c r="M21" s="19"/>
      <c r="N21" s="19">
        <f t="shared" si="2"/>
        <v>0</v>
      </c>
      <c r="P21" s="19"/>
      <c r="Q21" s="19"/>
      <c r="R21" s="19">
        <f t="shared" si="5"/>
        <v>0</v>
      </c>
      <c r="S21" s="19"/>
      <c r="T21" s="19">
        <f t="shared" si="3"/>
        <v>0</v>
      </c>
    </row>
    <row r="22" spans="1:20" hidden="1" outlineLevel="1" x14ac:dyDescent="0.25">
      <c r="A22" t="s">
        <v>69</v>
      </c>
      <c r="D22" s="19"/>
      <c r="E22" s="19"/>
      <c r="F22" s="19">
        <f t="shared" si="4"/>
        <v>0</v>
      </c>
      <c r="G22" s="19"/>
      <c r="H22" s="19">
        <f t="shared" si="1"/>
        <v>0</v>
      </c>
      <c r="J22" s="19"/>
      <c r="K22" s="19"/>
      <c r="L22" s="19"/>
      <c r="M22" s="19"/>
      <c r="N22" s="19">
        <f t="shared" si="2"/>
        <v>0</v>
      </c>
      <c r="P22" s="19"/>
      <c r="Q22" s="19"/>
      <c r="R22" s="19">
        <f t="shared" si="5"/>
        <v>0</v>
      </c>
      <c r="S22" s="19"/>
      <c r="T22" s="19">
        <f t="shared" si="3"/>
        <v>0</v>
      </c>
    </row>
    <row r="23" spans="1:20" hidden="1" outlineLevel="1" x14ac:dyDescent="0.25">
      <c r="A23" t="s">
        <v>67</v>
      </c>
      <c r="D23" s="19"/>
      <c r="E23" s="19"/>
      <c r="F23" s="19">
        <f t="shared" si="4"/>
        <v>0</v>
      </c>
      <c r="G23" s="19"/>
      <c r="H23" s="19">
        <f t="shared" si="1"/>
        <v>0</v>
      </c>
      <c r="J23" s="19"/>
      <c r="K23" s="19"/>
      <c r="L23" s="19"/>
      <c r="M23" s="19"/>
      <c r="N23" s="19">
        <f t="shared" si="2"/>
        <v>0</v>
      </c>
      <c r="P23" s="19"/>
      <c r="Q23" s="19"/>
      <c r="R23" s="19">
        <f t="shared" si="5"/>
        <v>0</v>
      </c>
      <c r="S23" s="19"/>
      <c r="T23" s="19">
        <f t="shared" si="3"/>
        <v>0</v>
      </c>
    </row>
    <row r="24" spans="1:20" hidden="1" outlineLevel="1" x14ac:dyDescent="0.25">
      <c r="A24" t="s">
        <v>70</v>
      </c>
      <c r="D24" s="19"/>
      <c r="E24" s="19"/>
      <c r="F24" s="19">
        <f t="shared" si="4"/>
        <v>0</v>
      </c>
      <c r="G24" s="19"/>
      <c r="H24" s="19">
        <f t="shared" si="1"/>
        <v>0</v>
      </c>
      <c r="J24" s="19"/>
      <c r="K24" s="19"/>
      <c r="L24" s="19"/>
      <c r="M24" s="19"/>
      <c r="N24" s="19">
        <f t="shared" si="2"/>
        <v>0</v>
      </c>
      <c r="P24" s="19"/>
      <c r="Q24" s="19"/>
      <c r="R24" s="19">
        <f t="shared" si="5"/>
        <v>0</v>
      </c>
      <c r="S24" s="19"/>
      <c r="T24" s="19">
        <f t="shared" si="3"/>
        <v>0</v>
      </c>
    </row>
    <row r="25" spans="1:20" collapsed="1" x14ac:dyDescent="0.25">
      <c r="A25" t="s">
        <v>71</v>
      </c>
      <c r="D25" s="22">
        <f>D11</f>
        <v>-41266215</v>
      </c>
      <c r="E25" s="22">
        <f>E11</f>
        <v>-20672565</v>
      </c>
      <c r="F25" s="22">
        <f t="shared" si="4"/>
        <v>-61938780</v>
      </c>
      <c r="G25" s="22">
        <f>SUM(G12:G24)</f>
        <v>0</v>
      </c>
      <c r="H25" s="19">
        <f t="shared" si="1"/>
        <v>-61938780</v>
      </c>
      <c r="J25" s="19">
        <f>-34477490-2404929</f>
        <v>-36882419</v>
      </c>
      <c r="K25" s="22">
        <f>-4893753-14017203</f>
        <v>-18910956</v>
      </c>
      <c r="L25" s="19">
        <f t="shared" ref="L25" si="6">+J25+K25</f>
        <v>-55793375</v>
      </c>
      <c r="M25" s="22"/>
      <c r="N25" s="19">
        <f t="shared" si="2"/>
        <v>-55793375</v>
      </c>
      <c r="P25" s="22">
        <f>P11</f>
        <v>-63291970</v>
      </c>
      <c r="Q25" s="22">
        <f>Q11</f>
        <v>-14726048</v>
      </c>
      <c r="R25" s="22">
        <f t="shared" si="5"/>
        <v>-78018018</v>
      </c>
      <c r="S25" s="22">
        <f>SUM(S12:S24)</f>
        <v>0</v>
      </c>
      <c r="T25" s="19">
        <f t="shared" si="3"/>
        <v>-78018018</v>
      </c>
    </row>
    <row r="26" spans="1:20" x14ac:dyDescent="0.25">
      <c r="D26" s="19"/>
      <c r="E26" s="19"/>
      <c r="F26" s="19"/>
      <c r="G26" s="19"/>
      <c r="H26" s="19">
        <f t="shared" si="1"/>
        <v>0</v>
      </c>
      <c r="J26" s="19"/>
      <c r="K26" s="19"/>
      <c r="L26" s="19"/>
      <c r="M26" s="19"/>
      <c r="N26" s="19">
        <f t="shared" si="2"/>
        <v>0</v>
      </c>
      <c r="P26" s="19"/>
      <c r="Q26" s="19"/>
      <c r="R26" s="19"/>
      <c r="S26" s="19"/>
      <c r="T26" s="19">
        <f t="shared" si="3"/>
        <v>0</v>
      </c>
    </row>
    <row r="27" spans="1:20" hidden="1" x14ac:dyDescent="0.25">
      <c r="A27" t="s">
        <v>58</v>
      </c>
      <c r="D27" s="37"/>
      <c r="E27" s="36"/>
      <c r="F27" s="19">
        <f>+D27+E27</f>
        <v>0</v>
      </c>
      <c r="G27" s="19"/>
      <c r="H27" s="19">
        <f>+F27+G27</f>
        <v>0</v>
      </c>
      <c r="J27" s="37"/>
      <c r="K27" s="36"/>
      <c r="L27" s="19">
        <f t="shared" ref="L27:L28" si="7">+J27+K27</f>
        <v>0</v>
      </c>
      <c r="M27" s="19"/>
      <c r="N27" s="19">
        <f>+L27+M27</f>
        <v>0</v>
      </c>
      <c r="P27" s="37"/>
      <c r="Q27" s="36"/>
      <c r="R27" s="19">
        <f>+P27+Q27</f>
        <v>0</v>
      </c>
      <c r="S27" s="19"/>
      <c r="T27" s="19">
        <f>+R27+S27</f>
        <v>0</v>
      </c>
    </row>
    <row r="28" spans="1:20" x14ac:dyDescent="0.25">
      <c r="A28" t="s">
        <v>267</v>
      </c>
      <c r="D28" s="36">
        <v>53527</v>
      </c>
      <c r="E28" s="36">
        <v>451754</v>
      </c>
      <c r="F28" s="19">
        <f>+D28+E28</f>
        <v>505281</v>
      </c>
      <c r="G28" s="36">
        <f>+AD!H48+AD!H16</f>
        <v>687293</v>
      </c>
      <c r="H28" s="19">
        <f>+F28+G28</f>
        <v>1192574</v>
      </c>
      <c r="J28" s="19">
        <v>-1477407</v>
      </c>
      <c r="K28" s="36">
        <v>377387</v>
      </c>
      <c r="L28" s="19">
        <f t="shared" si="7"/>
        <v>-1100020</v>
      </c>
      <c r="M28" s="19">
        <f>+AD!J16-AD!I35</f>
        <v>-259633</v>
      </c>
      <c r="N28" s="19">
        <f>+L28+M28</f>
        <v>-1359653</v>
      </c>
      <c r="P28" s="36">
        <v>-3618624</v>
      </c>
      <c r="Q28" s="36">
        <f>-85300+344362</f>
        <v>259062</v>
      </c>
      <c r="R28" s="19">
        <f>+P28+Q28</f>
        <v>-3359562</v>
      </c>
      <c r="S28" s="36">
        <f>-AD!K16</f>
        <v>-12940</v>
      </c>
      <c r="T28" s="19">
        <f>+R28+S28</f>
        <v>-3372502</v>
      </c>
    </row>
    <row r="29" spans="1:20" x14ac:dyDescent="0.25">
      <c r="A29" t="s">
        <v>54</v>
      </c>
      <c r="D29" s="20">
        <f>+D9+D25+D27+D28</f>
        <v>28820706</v>
      </c>
      <c r="E29" s="20">
        <f>+E9+E25+E27+E28</f>
        <v>11956765</v>
      </c>
      <c r="F29" s="20">
        <f>+F9+F25+F27+F28</f>
        <v>40777471</v>
      </c>
      <c r="G29" s="20">
        <f>+G9+G25+G27+G28</f>
        <v>2120374</v>
      </c>
      <c r="H29" s="20">
        <f>+H9+H25+H27+H28</f>
        <v>42897845</v>
      </c>
      <c r="J29" s="20">
        <f>+J9+J25+J27+J28</f>
        <v>17117679.449999988</v>
      </c>
      <c r="K29" s="20">
        <f>+K9+K25+K27+K28</f>
        <v>5532590</v>
      </c>
      <c r="L29" s="20">
        <f>+J29+K29</f>
        <v>22650269.449999988</v>
      </c>
      <c r="M29" s="20">
        <f>+M9+M25+M27+M28</f>
        <v>3639537</v>
      </c>
      <c r="N29" s="20">
        <f>+L29+M29</f>
        <v>26289806.449999988</v>
      </c>
      <c r="P29" s="20">
        <f>+P9+P25+P27+P28</f>
        <v>14204240</v>
      </c>
      <c r="Q29" s="20">
        <f>+Q9+Q25+Q27+Q28</f>
        <v>3715223</v>
      </c>
      <c r="R29" s="20">
        <f>+R9+R25+R27+R28</f>
        <v>17919463</v>
      </c>
      <c r="S29" s="20">
        <f>+S9+S25+S27+S28</f>
        <v>1245089</v>
      </c>
      <c r="T29" s="20">
        <f>+T9+T25+T27+T28</f>
        <v>19164552</v>
      </c>
    </row>
    <row r="30" spans="1:20" x14ac:dyDescent="0.25">
      <c r="D30" s="19"/>
      <c r="E30" s="19"/>
      <c r="F30" s="19"/>
      <c r="G30" s="19"/>
      <c r="H30" s="19"/>
      <c r="J30" s="19"/>
      <c r="K30" s="19"/>
      <c r="L30" s="19"/>
      <c r="M30" s="19"/>
      <c r="N30" s="19"/>
      <c r="P30" s="19"/>
      <c r="Q30" s="19"/>
      <c r="R30" s="19"/>
      <c r="S30" s="19"/>
      <c r="T30" s="19"/>
    </row>
    <row r="31" spans="1:20" x14ac:dyDescent="0.25">
      <c r="A31" t="s">
        <v>55</v>
      </c>
      <c r="D31" s="19">
        <v>-2310882</v>
      </c>
      <c r="E31" s="19">
        <v>-670216</v>
      </c>
      <c r="F31" s="19">
        <f>+D31+E31</f>
        <v>-2981098</v>
      </c>
      <c r="G31" s="19"/>
      <c r="H31" s="19">
        <f>+F31+G31</f>
        <v>-2981098</v>
      </c>
      <c r="J31" s="19">
        <v>-3489748</v>
      </c>
      <c r="K31" s="19">
        <v>-317180</v>
      </c>
      <c r="L31" s="19">
        <f>+J31+K31</f>
        <v>-3806928</v>
      </c>
      <c r="M31" s="19"/>
      <c r="N31" s="19">
        <f>+L31+M31</f>
        <v>-3806928</v>
      </c>
      <c r="P31" s="19">
        <v>-5186848</v>
      </c>
      <c r="Q31" s="19">
        <v>-445202</v>
      </c>
      <c r="R31" s="19">
        <f>+P31+Q31</f>
        <v>-5632050</v>
      </c>
      <c r="S31" s="19"/>
      <c r="T31" s="19">
        <f>+R31+S31</f>
        <v>-5632050</v>
      </c>
    </row>
    <row r="32" spans="1:20" x14ac:dyDescent="0.25">
      <c r="A32" t="s">
        <v>56</v>
      </c>
      <c r="D32" s="20">
        <f>+D29+D31</f>
        <v>26509824</v>
      </c>
      <c r="E32" s="20">
        <f>+E29+E31</f>
        <v>11286549</v>
      </c>
      <c r="F32" s="20">
        <f>+F29+F31</f>
        <v>37796373</v>
      </c>
      <c r="G32" s="20">
        <f>+G29+G31</f>
        <v>2120374</v>
      </c>
      <c r="H32" s="20">
        <f>+H29+H31</f>
        <v>39916747</v>
      </c>
      <c r="J32" s="20">
        <f>+J29+J31</f>
        <v>13627931.449999988</v>
      </c>
      <c r="K32" s="20">
        <f>+K29+K31</f>
        <v>5215410</v>
      </c>
      <c r="L32" s="20">
        <f>+L29+L31</f>
        <v>18843341.449999988</v>
      </c>
      <c r="M32" s="20">
        <f>+M29+M31</f>
        <v>3639537</v>
      </c>
      <c r="N32" s="20">
        <f>+N29+N31</f>
        <v>22482878.449999988</v>
      </c>
      <c r="P32" s="20">
        <f>+P29+P31</f>
        <v>9017392</v>
      </c>
      <c r="Q32" s="20">
        <f>+Q29+Q31</f>
        <v>3270021</v>
      </c>
      <c r="R32" s="20">
        <f>+R29+R31</f>
        <v>12287413</v>
      </c>
      <c r="S32" s="20">
        <f>+S29+S31</f>
        <v>1245089</v>
      </c>
      <c r="T32" s="20">
        <f>+T29+T31</f>
        <v>13532502</v>
      </c>
    </row>
    <row r="33" spans="1:21" x14ac:dyDescent="0.25">
      <c r="D33" s="19"/>
      <c r="E33" s="19"/>
      <c r="F33" s="19"/>
      <c r="G33" s="19"/>
      <c r="H33" s="19"/>
      <c r="J33" s="19"/>
      <c r="K33" s="19"/>
      <c r="L33" s="19"/>
      <c r="M33" s="19"/>
      <c r="N33" s="19"/>
      <c r="P33" s="19"/>
      <c r="Q33" s="19"/>
      <c r="R33" s="19"/>
      <c r="S33" s="19"/>
      <c r="T33" s="19"/>
    </row>
    <row r="34" spans="1:21" x14ac:dyDescent="0.25">
      <c r="A34" t="s">
        <v>353</v>
      </c>
      <c r="D34" s="19">
        <v>-3976474</v>
      </c>
      <c r="E34" s="36">
        <v>-1692982</v>
      </c>
      <c r="F34" s="19">
        <f>+D34+E34</f>
        <v>-5669456</v>
      </c>
      <c r="G34" s="19"/>
      <c r="H34" s="36">
        <f>+F34+G34</f>
        <v>-5669456</v>
      </c>
      <c r="J34" s="36"/>
      <c r="K34" s="36"/>
      <c r="L34" s="19"/>
      <c r="M34" s="19"/>
      <c r="N34" s="19"/>
      <c r="P34" s="19"/>
      <c r="Q34" s="19"/>
      <c r="R34" s="19"/>
      <c r="S34" s="19"/>
      <c r="T34" s="19"/>
    </row>
    <row r="35" spans="1:21" x14ac:dyDescent="0.25">
      <c r="A35" t="s">
        <v>354</v>
      </c>
      <c r="D35" s="19">
        <v>-7316715</v>
      </c>
      <c r="E35" s="19">
        <v>-2500922</v>
      </c>
      <c r="F35" s="19">
        <f>+D35+E35</f>
        <v>-9817637</v>
      </c>
      <c r="G35" s="36">
        <f>+AD!H63</f>
        <v>-358270.25</v>
      </c>
      <c r="H35" s="36">
        <f>+F35+G35</f>
        <v>-10175907.25</v>
      </c>
      <c r="J35" s="19">
        <v>-4237903</v>
      </c>
      <c r="K35" s="19">
        <v>-1467605</v>
      </c>
      <c r="L35" s="19">
        <f>+J35+K35</f>
        <v>-5705508</v>
      </c>
      <c r="M35" s="19">
        <f>+AD!J63+AD!J58</f>
        <v>-555396.5</v>
      </c>
      <c r="N35" s="36">
        <f>+L35+M35</f>
        <v>-6260904.5</v>
      </c>
      <c r="P35" s="19">
        <v>-3550763</v>
      </c>
      <c r="Q35" s="19">
        <v>-676345</v>
      </c>
      <c r="R35" s="19">
        <f>+P35+Q35</f>
        <v>-4227108</v>
      </c>
      <c r="S35" s="36">
        <f>AD!L63</f>
        <v>591847.41514800023</v>
      </c>
      <c r="T35" s="36">
        <f>+R35+S35</f>
        <v>-3635260.5848519998</v>
      </c>
    </row>
    <row r="36" spans="1:21" x14ac:dyDescent="0.25">
      <c r="A36" t="s">
        <v>57</v>
      </c>
      <c r="D36" s="20">
        <f>SUM(D32:D35)</f>
        <v>15216635</v>
      </c>
      <c r="E36" s="20">
        <f t="shared" ref="E36:H36" si="8">SUM(E32:E35)</f>
        <v>7092645</v>
      </c>
      <c r="F36" s="20">
        <f t="shared" si="8"/>
        <v>22309280</v>
      </c>
      <c r="G36" s="20">
        <f t="shared" si="8"/>
        <v>1762103.75</v>
      </c>
      <c r="H36" s="20">
        <f t="shared" si="8"/>
        <v>24071383.75</v>
      </c>
      <c r="J36" s="20">
        <f>+J32+J35</f>
        <v>9390028.4499999881</v>
      </c>
      <c r="K36" s="20">
        <f>+K32+K35</f>
        <v>3747805</v>
      </c>
      <c r="L36" s="20">
        <f>+L32+L35</f>
        <v>13137833.449999988</v>
      </c>
      <c r="M36" s="20">
        <f>+M32+M35</f>
        <v>3084140.5</v>
      </c>
      <c r="N36" s="20">
        <f>+N32+N35</f>
        <v>16221973.949999988</v>
      </c>
      <c r="P36" s="20">
        <f>+P32+P35</f>
        <v>5466629</v>
      </c>
      <c r="Q36" s="20">
        <f>+Q32+Q35</f>
        <v>2593676</v>
      </c>
      <c r="R36" s="20">
        <f>+R32+R35</f>
        <v>8060305</v>
      </c>
      <c r="S36" s="20">
        <f>+S32+S35</f>
        <v>1836936.4151480002</v>
      </c>
      <c r="T36" s="20">
        <f>+T32+T35</f>
        <v>9897241.4151480012</v>
      </c>
    </row>
    <row r="37" spans="1:21" x14ac:dyDescent="0.25">
      <c r="D37" s="100"/>
      <c r="E37" s="100"/>
      <c r="F37" s="100"/>
      <c r="G37" s="100"/>
      <c r="H37" s="100"/>
      <c r="J37" s="100"/>
      <c r="K37" s="100"/>
      <c r="L37" s="100"/>
      <c r="M37" s="100"/>
      <c r="N37" s="100"/>
      <c r="P37" s="100"/>
      <c r="Q37" s="100"/>
      <c r="R37" s="100"/>
      <c r="S37" s="100"/>
      <c r="T37" s="100"/>
    </row>
    <row r="38" spans="1:21" x14ac:dyDescent="0.25">
      <c r="A38" t="s">
        <v>138</v>
      </c>
      <c r="D38" s="19"/>
      <c r="E38" s="19"/>
      <c r="F38" s="19"/>
      <c r="G38" s="19"/>
      <c r="H38" s="19"/>
      <c r="J38" s="19"/>
      <c r="K38" s="19"/>
      <c r="L38" s="19"/>
      <c r="M38" s="19"/>
      <c r="N38" s="19"/>
      <c r="P38" s="19"/>
      <c r="Q38" s="19"/>
      <c r="R38" s="19"/>
      <c r="S38" s="19"/>
      <c r="T38" s="19"/>
    </row>
    <row r="39" spans="1:21" ht="28.9" customHeight="1" x14ac:dyDescent="0.25">
      <c r="A39" s="288" t="s">
        <v>329</v>
      </c>
      <c r="B39" s="288"/>
      <c r="C39" s="289"/>
      <c r="D39" s="19">
        <v>-1099700</v>
      </c>
      <c r="E39" s="19">
        <v>-15737</v>
      </c>
      <c r="F39" s="19">
        <f>+D39+E39</f>
        <v>-1115437</v>
      </c>
      <c r="G39" s="15"/>
      <c r="H39" s="19">
        <f>+F39+G39</f>
        <v>-1115437</v>
      </c>
      <c r="I39" s="10"/>
      <c r="J39" s="19">
        <v>70086</v>
      </c>
      <c r="K39" s="19">
        <v>-16606</v>
      </c>
      <c r="L39" s="19">
        <f>+J39+K39</f>
        <v>53480</v>
      </c>
      <c r="M39" s="15"/>
      <c r="N39" s="19">
        <f>+L39+M39</f>
        <v>53480</v>
      </c>
      <c r="O39" s="87"/>
      <c r="P39" s="19">
        <v>1849659</v>
      </c>
      <c r="Q39" s="19">
        <v>-26254</v>
      </c>
      <c r="R39" s="19">
        <f>+P39+Q39</f>
        <v>1823405</v>
      </c>
      <c r="S39" s="15"/>
      <c r="T39" s="19">
        <f>+R39+S39</f>
        <v>1823405</v>
      </c>
      <c r="U39" s="10"/>
    </row>
    <row r="40" spans="1:21" x14ac:dyDescent="0.25">
      <c r="A40" t="s">
        <v>57</v>
      </c>
      <c r="D40" s="29">
        <f t="shared" ref="D40:I40" si="9">+D36+D39</f>
        <v>14116935</v>
      </c>
      <c r="E40" s="20">
        <f t="shared" si="9"/>
        <v>7076908</v>
      </c>
      <c r="F40" s="20">
        <f t="shared" si="9"/>
        <v>21193843</v>
      </c>
      <c r="G40" s="20">
        <f t="shared" si="9"/>
        <v>1762103.75</v>
      </c>
      <c r="H40" s="20">
        <f t="shared" si="9"/>
        <v>22955946.75</v>
      </c>
      <c r="I40" s="19">
        <f t="shared" si="9"/>
        <v>0</v>
      </c>
      <c r="J40" s="29">
        <f t="shared" ref="J40" si="10">+J36+J39</f>
        <v>9460114.4499999881</v>
      </c>
      <c r="K40" s="20">
        <f>+K36+K39</f>
        <v>3731199</v>
      </c>
      <c r="L40" s="20">
        <f>+L36+L39</f>
        <v>13191313.449999988</v>
      </c>
      <c r="M40" s="20">
        <f>+M36+M39</f>
        <v>3084140.5</v>
      </c>
      <c r="N40" s="20">
        <f>+N36+N39</f>
        <v>16275453.949999988</v>
      </c>
      <c r="P40" s="29">
        <f t="shared" ref="P40:U40" si="11">+P36+P39</f>
        <v>7316288</v>
      </c>
      <c r="Q40" s="20">
        <f t="shared" si="11"/>
        <v>2567422</v>
      </c>
      <c r="R40" s="20">
        <f t="shared" si="11"/>
        <v>9883710</v>
      </c>
      <c r="S40" s="20">
        <f t="shared" si="11"/>
        <v>1836936.4151480002</v>
      </c>
      <c r="T40" s="20">
        <f t="shared" si="11"/>
        <v>11720646.415148001</v>
      </c>
      <c r="U40" s="19">
        <f t="shared" si="11"/>
        <v>0</v>
      </c>
    </row>
    <row r="41" spans="1:21" x14ac:dyDescent="0.25">
      <c r="I41" s="10"/>
      <c r="J41" s="73"/>
      <c r="K41" s="99"/>
      <c r="U41" s="10"/>
    </row>
    <row r="42" spans="1:21" x14ac:dyDescent="0.25">
      <c r="I42" s="10"/>
      <c r="J42" s="74"/>
      <c r="K42" s="35"/>
      <c r="M42" s="154"/>
      <c r="N42" s="154"/>
      <c r="U42" s="10"/>
    </row>
    <row r="43" spans="1:21" x14ac:dyDescent="0.25">
      <c r="D43" s="10"/>
      <c r="E43" s="10"/>
      <c r="F43" s="10"/>
    </row>
    <row r="44" spans="1:21" x14ac:dyDescent="0.25">
      <c r="D44" s="57"/>
      <c r="E44" s="10"/>
      <c r="F44" s="10"/>
      <c r="J44" s="59" t="s">
        <v>250</v>
      </c>
      <c r="K44" s="7"/>
      <c r="L44" s="7"/>
      <c r="P44" s="59" t="s">
        <v>250</v>
      </c>
      <c r="Q44" s="7"/>
      <c r="R44" s="7"/>
    </row>
    <row r="45" spans="1:21" x14ac:dyDescent="0.25">
      <c r="D45" s="57"/>
      <c r="E45" s="10"/>
      <c r="F45" s="10"/>
      <c r="J45" s="4" t="s">
        <v>251</v>
      </c>
      <c r="P45" s="4" t="s">
        <v>251</v>
      </c>
    </row>
  </sheetData>
  <mergeCells count="1">
    <mergeCell ref="A39:C39"/>
  </mergeCells>
  <pageMargins left="0.7" right="0.7" top="0.75" bottom="0.75" header="0.3" footer="0.3"/>
  <pageSetup scale="88" orientation="portrait" r:id="rId1"/>
  <colBreaks count="1" manualBreakCount="1">
    <brk id="20" max="3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79"/>
  <sheetViews>
    <sheetView zoomScaleNormal="100" workbookViewId="0">
      <pane xSplit="4" ySplit="5" topLeftCell="I9" activePane="bottomRight" state="frozen"/>
      <selection pane="topRight" activeCell="E1" sqref="E1"/>
      <selection pane="bottomLeft" activeCell="A6" sqref="A6"/>
      <selection pane="bottomRight" activeCell="I12" sqref="I12"/>
    </sheetView>
  </sheetViews>
  <sheetFormatPr defaultColWidth="11.42578125" defaultRowHeight="15" outlineLevelCol="1" x14ac:dyDescent="0.25"/>
  <cols>
    <col min="1" max="1" width="1.28515625" customWidth="1"/>
    <col min="2" max="2" width="1.5703125" customWidth="1"/>
    <col min="3" max="3" width="21.42578125" customWidth="1"/>
    <col min="4" max="4" width="30.7109375" customWidth="1"/>
    <col min="5" max="5" width="12.28515625" style="4" hidden="1" customWidth="1" outlineLevel="1"/>
    <col min="6" max="6" width="14.140625" style="4" hidden="1" customWidth="1" outlineLevel="1"/>
    <col min="7" max="7" width="12.7109375" hidden="1" customWidth="1" outlineLevel="1"/>
    <col min="8" max="8" width="12.140625" style="37" hidden="1" customWidth="1" outlineLevel="1"/>
    <col min="9" max="9" width="12.28515625" bestFit="1" customWidth="1" collapsed="1"/>
    <col min="10" max="10" width="3" customWidth="1"/>
    <col min="11" max="11" width="12.42578125" style="37" customWidth="1"/>
    <col min="12" max="12" width="14.140625" bestFit="1" customWidth="1"/>
    <col min="13" max="13" width="12.7109375" customWidth="1"/>
    <col min="14" max="14" width="12.5703125" customWidth="1"/>
    <col min="15" max="15" width="12.28515625" customWidth="1"/>
    <col min="16" max="16" width="2.5703125" hidden="1" customWidth="1"/>
    <col min="17" max="17" width="12.28515625" style="4" hidden="1" customWidth="1"/>
    <col min="18" max="18" width="14.140625" style="4" hidden="1" customWidth="1"/>
    <col min="19" max="19" width="12.7109375" hidden="1" customWidth="1"/>
    <col min="20" max="20" width="12.140625" style="37" hidden="1" customWidth="1"/>
    <col min="21" max="21" width="12.140625" hidden="1" customWidth="1"/>
    <col min="22" max="22" width="3" hidden="1" customWidth="1"/>
  </cols>
  <sheetData>
    <row r="1" spans="1:21" x14ac:dyDescent="0.25">
      <c r="A1" s="2" t="s">
        <v>0</v>
      </c>
    </row>
    <row r="2" spans="1:21" x14ac:dyDescent="0.25">
      <c r="A2" s="1" t="s">
        <v>148</v>
      </c>
      <c r="L2" s="4"/>
    </row>
    <row r="3" spans="1:21" x14ac:dyDescent="0.25">
      <c r="A3" s="1" t="s">
        <v>339</v>
      </c>
      <c r="E3" s="22"/>
      <c r="F3" s="22"/>
      <c r="G3" s="14"/>
      <c r="H3" s="69"/>
      <c r="I3" s="14"/>
      <c r="K3" s="45"/>
      <c r="L3" s="22"/>
      <c r="M3" s="14"/>
      <c r="N3" s="69"/>
      <c r="O3" s="14"/>
      <c r="Q3" s="22"/>
      <c r="R3" s="22"/>
      <c r="S3" s="14"/>
      <c r="T3" s="69"/>
      <c r="U3" s="14"/>
    </row>
    <row r="4" spans="1:21" x14ac:dyDescent="0.25">
      <c r="A4" s="3" t="s">
        <v>17</v>
      </c>
      <c r="E4" s="19"/>
      <c r="F4" s="19"/>
      <c r="G4" s="15"/>
      <c r="H4" s="80" t="s">
        <v>50</v>
      </c>
      <c r="I4" s="16">
        <v>2019</v>
      </c>
      <c r="K4" s="36"/>
      <c r="L4" s="19"/>
      <c r="M4" s="15"/>
      <c r="N4" s="80" t="s">
        <v>50</v>
      </c>
      <c r="O4" s="16">
        <v>2018</v>
      </c>
      <c r="Q4" s="19"/>
      <c r="R4" s="19"/>
      <c r="S4" s="15"/>
      <c r="T4" s="80" t="s">
        <v>50</v>
      </c>
      <c r="U4" s="16">
        <v>2017</v>
      </c>
    </row>
    <row r="5" spans="1:21" x14ac:dyDescent="0.25">
      <c r="E5" s="23" t="s">
        <v>14</v>
      </c>
      <c r="F5" s="23" t="s">
        <v>15</v>
      </c>
      <c r="G5" s="17" t="s">
        <v>16</v>
      </c>
      <c r="H5" s="81" t="s">
        <v>145</v>
      </c>
      <c r="I5" s="17" t="s">
        <v>144</v>
      </c>
      <c r="K5" s="155" t="s">
        <v>14</v>
      </c>
      <c r="L5" s="23" t="s">
        <v>15</v>
      </c>
      <c r="M5" s="17" t="s">
        <v>16</v>
      </c>
      <c r="N5" s="81" t="s">
        <v>145</v>
      </c>
      <c r="O5" s="17" t="s">
        <v>144</v>
      </c>
      <c r="Q5" s="23" t="s">
        <v>14</v>
      </c>
      <c r="R5" s="23" t="s">
        <v>15</v>
      </c>
      <c r="S5" s="17" t="s">
        <v>16</v>
      </c>
      <c r="T5" s="81" t="s">
        <v>145</v>
      </c>
      <c r="U5" s="17" t="s">
        <v>144</v>
      </c>
    </row>
    <row r="6" spans="1:21" x14ac:dyDescent="0.25">
      <c r="E6" s="19"/>
      <c r="F6" s="19"/>
      <c r="G6" s="15"/>
      <c r="H6" s="43"/>
      <c r="I6" s="15"/>
      <c r="K6" s="36"/>
      <c r="L6" s="19"/>
      <c r="M6" s="15"/>
      <c r="N6" s="43"/>
      <c r="O6" s="15"/>
      <c r="Q6" s="19"/>
      <c r="R6" s="19"/>
      <c r="S6" s="15"/>
      <c r="T6" s="43"/>
      <c r="U6" s="15"/>
    </row>
    <row r="7" spans="1:21" x14ac:dyDescent="0.25">
      <c r="B7" s="32" t="s">
        <v>96</v>
      </c>
      <c r="C7" s="7"/>
      <c r="D7" s="8"/>
      <c r="E7" s="19"/>
      <c r="F7" s="19"/>
      <c r="G7" s="19"/>
      <c r="H7" s="36"/>
      <c r="I7" s="19"/>
      <c r="K7" s="36"/>
      <c r="L7" s="19"/>
      <c r="M7" s="19"/>
      <c r="N7" s="36"/>
      <c r="O7" s="19"/>
      <c r="P7" s="11"/>
      <c r="Q7" s="19"/>
      <c r="R7" s="19"/>
      <c r="S7" s="19"/>
      <c r="T7" s="36"/>
      <c r="U7" s="19"/>
    </row>
    <row r="8" spans="1:21" x14ac:dyDescent="0.25">
      <c r="B8" s="33" t="s">
        <v>97</v>
      </c>
      <c r="C8" s="10"/>
      <c r="D8" s="11"/>
      <c r="E8" s="36">
        <f>+ER!D40-ER!D35</f>
        <v>21433650</v>
      </c>
      <c r="F8" s="36">
        <f>+ER!E40-ER!E35</f>
        <v>9577830</v>
      </c>
      <c r="G8" s="19">
        <f>+E8+F8</f>
        <v>31011480</v>
      </c>
      <c r="H8" s="36">
        <f>+ER!G40-ER!G35</f>
        <v>2120374</v>
      </c>
      <c r="I8" s="19">
        <f>+G8+H8</f>
        <v>33131854</v>
      </c>
      <c r="K8" s="36">
        <f>ER!J32</f>
        <v>13627931.449999988</v>
      </c>
      <c r="L8" s="19">
        <v>5215409</v>
      </c>
      <c r="M8" s="19">
        <f>+K8+L8</f>
        <v>18843340.449999988</v>
      </c>
      <c r="N8" s="36">
        <f>+ER!M32</f>
        <v>3639537</v>
      </c>
      <c r="O8" s="19">
        <f>+M8+N8</f>
        <v>22482877.449999988</v>
      </c>
      <c r="P8" s="11"/>
      <c r="Q8" s="19">
        <f>10608696-1591304</f>
        <v>9017392</v>
      </c>
      <c r="R8" s="19">
        <v>3270021</v>
      </c>
      <c r="S8" s="19">
        <f>+Q8+R8</f>
        <v>12287413</v>
      </c>
      <c r="T8" s="36">
        <f>+ER!S32</f>
        <v>1245089</v>
      </c>
      <c r="U8" s="19">
        <f>+S8+T8</f>
        <v>13532502</v>
      </c>
    </row>
    <row r="9" spans="1:21" ht="28.15" customHeight="1" x14ac:dyDescent="0.25">
      <c r="B9" s="292" t="s">
        <v>153</v>
      </c>
      <c r="C9" s="293"/>
      <c r="D9" s="294"/>
      <c r="E9" s="19"/>
      <c r="F9" s="19"/>
      <c r="G9" s="19"/>
      <c r="H9" s="36"/>
      <c r="I9" s="19"/>
      <c r="K9" s="36"/>
      <c r="L9" s="19"/>
      <c r="M9" s="19"/>
      <c r="N9" s="36"/>
      <c r="O9" s="19"/>
      <c r="P9" s="89"/>
      <c r="Q9" s="19"/>
      <c r="R9" s="19"/>
      <c r="S9" s="19"/>
      <c r="T9" s="36"/>
      <c r="U9" s="19"/>
    </row>
    <row r="10" spans="1:21" x14ac:dyDescent="0.25">
      <c r="B10" s="9"/>
      <c r="C10" s="10" t="s">
        <v>316</v>
      </c>
      <c r="D10" s="11"/>
      <c r="E10" s="19">
        <v>49054</v>
      </c>
      <c r="F10" s="19">
        <v>251248</v>
      </c>
      <c r="G10" s="19">
        <f t="shared" ref="G10:G22" si="0">+E10+F10</f>
        <v>300302</v>
      </c>
      <c r="H10" s="36"/>
      <c r="I10" s="19">
        <f t="shared" ref="I10:I22" si="1">+G10+H10</f>
        <v>300302</v>
      </c>
      <c r="K10" s="36">
        <v>23826</v>
      </c>
      <c r="L10" s="19">
        <v>511226</v>
      </c>
      <c r="M10" s="19">
        <f t="shared" ref="M10:M22" si="2">+K10+L10</f>
        <v>535052</v>
      </c>
      <c r="N10" s="36"/>
      <c r="O10" s="19">
        <f t="shared" ref="O10:O22" si="3">+M10+N10</f>
        <v>535052</v>
      </c>
      <c r="P10" s="11"/>
      <c r="Q10" s="19">
        <v>200000</v>
      </c>
      <c r="R10" s="19">
        <v>281795</v>
      </c>
      <c r="S10" s="19">
        <f t="shared" ref="S10:S21" si="4">+Q10+R10</f>
        <v>481795</v>
      </c>
      <c r="T10" s="36"/>
      <c r="U10" s="19">
        <f t="shared" ref="U10:U21" si="5">+S10+T10</f>
        <v>481795</v>
      </c>
    </row>
    <row r="11" spans="1:21" x14ac:dyDescent="0.25">
      <c r="B11" s="9"/>
      <c r="C11" s="10" t="s">
        <v>179</v>
      </c>
      <c r="D11" s="11"/>
      <c r="E11" s="19"/>
      <c r="F11" s="19"/>
      <c r="G11" s="19">
        <f t="shared" si="0"/>
        <v>0</v>
      </c>
      <c r="H11" s="36"/>
      <c r="I11" s="19">
        <f t="shared" si="1"/>
        <v>0</v>
      </c>
      <c r="K11" s="36">
        <v>2607519</v>
      </c>
      <c r="L11" s="19"/>
      <c r="M11" s="19">
        <f t="shared" si="2"/>
        <v>2607519</v>
      </c>
      <c r="N11" s="36"/>
      <c r="O11" s="19">
        <f t="shared" si="3"/>
        <v>2607519</v>
      </c>
      <c r="P11" s="11"/>
      <c r="Q11" s="19">
        <v>2268000</v>
      </c>
      <c r="R11" s="19"/>
      <c r="S11" s="19">
        <f t="shared" si="4"/>
        <v>2268000</v>
      </c>
      <c r="T11" s="36"/>
      <c r="U11" s="19">
        <f t="shared" si="5"/>
        <v>2268000</v>
      </c>
    </row>
    <row r="12" spans="1:21" x14ac:dyDescent="0.25">
      <c r="B12" s="24"/>
      <c r="C12" s="38" t="s">
        <v>98</v>
      </c>
      <c r="D12" s="102"/>
      <c r="E12" s="36">
        <v>18732617</v>
      </c>
      <c r="F12" s="36">
        <v>9736239</v>
      </c>
      <c r="G12" s="19">
        <f t="shared" si="0"/>
        <v>28468856</v>
      </c>
      <c r="H12" s="36"/>
      <c r="I12" s="19">
        <f t="shared" si="1"/>
        <v>28468856</v>
      </c>
      <c r="K12" s="36">
        <v>19329207</v>
      </c>
      <c r="L12" s="36">
        <v>9817785</v>
      </c>
      <c r="M12" s="36">
        <f t="shared" si="2"/>
        <v>29146992</v>
      </c>
      <c r="N12" s="36">
        <f>-AD!J41</f>
        <v>-9726442</v>
      </c>
      <c r="O12" s="36">
        <f t="shared" si="3"/>
        <v>19420550</v>
      </c>
      <c r="P12" s="11"/>
      <c r="Q12" s="36">
        <v>17346688</v>
      </c>
      <c r="R12" s="36">
        <v>8496450</v>
      </c>
      <c r="S12" s="19">
        <f t="shared" si="4"/>
        <v>25843138</v>
      </c>
      <c r="T12" s="36">
        <f>-AD!L41</f>
        <v>-8402210</v>
      </c>
      <c r="U12" s="19">
        <f t="shared" si="5"/>
        <v>17440928</v>
      </c>
    </row>
    <row r="13" spans="1:21" x14ac:dyDescent="0.25">
      <c r="B13" s="9"/>
      <c r="C13" s="38" t="s">
        <v>180</v>
      </c>
      <c r="D13" s="11"/>
      <c r="E13" s="19">
        <v>39210</v>
      </c>
      <c r="F13" s="19"/>
      <c r="G13" s="19">
        <f t="shared" si="0"/>
        <v>39210</v>
      </c>
      <c r="H13" s="36"/>
      <c r="I13" s="19">
        <f t="shared" si="1"/>
        <v>39210</v>
      </c>
      <c r="K13" s="36">
        <v>37744</v>
      </c>
      <c r="L13" s="19"/>
      <c r="M13" s="19">
        <f t="shared" si="2"/>
        <v>37744</v>
      </c>
      <c r="N13" s="36"/>
      <c r="O13" s="19">
        <f t="shared" si="3"/>
        <v>37744</v>
      </c>
      <c r="P13" s="11"/>
      <c r="Q13" s="19">
        <v>39210</v>
      </c>
      <c r="R13" s="19"/>
      <c r="S13" s="19">
        <f t="shared" si="4"/>
        <v>39210</v>
      </c>
      <c r="T13" s="36"/>
      <c r="U13" s="19">
        <f t="shared" si="5"/>
        <v>39210</v>
      </c>
    </row>
    <row r="14" spans="1:21" x14ac:dyDescent="0.25">
      <c r="B14" s="9"/>
      <c r="C14" s="290" t="s">
        <v>366</v>
      </c>
      <c r="D14" s="291"/>
      <c r="E14" s="19">
        <v>1484293</v>
      </c>
      <c r="F14" s="19">
        <v>565841</v>
      </c>
      <c r="G14" s="19">
        <f t="shared" si="0"/>
        <v>2050134</v>
      </c>
      <c r="H14" s="36"/>
      <c r="I14" s="19">
        <f t="shared" si="1"/>
        <v>2050134</v>
      </c>
      <c r="K14" s="36">
        <v>0</v>
      </c>
      <c r="L14" s="19"/>
      <c r="M14" s="19">
        <f t="shared" si="2"/>
        <v>0</v>
      </c>
      <c r="N14" s="36"/>
      <c r="O14" s="19">
        <f t="shared" si="3"/>
        <v>0</v>
      </c>
      <c r="P14" s="88"/>
      <c r="Q14" s="19"/>
      <c r="R14" s="19"/>
      <c r="S14" s="19">
        <f t="shared" si="4"/>
        <v>0</v>
      </c>
      <c r="T14" s="36"/>
      <c r="U14" s="19">
        <f t="shared" si="5"/>
        <v>0</v>
      </c>
    </row>
    <row r="15" spans="1:21" x14ac:dyDescent="0.25">
      <c r="B15" s="9"/>
      <c r="C15" s="10" t="s">
        <v>128</v>
      </c>
      <c r="D15" s="11"/>
      <c r="E15" s="19"/>
      <c r="F15" s="19"/>
      <c r="G15" s="19">
        <f t="shared" si="0"/>
        <v>0</v>
      </c>
      <c r="H15" s="36"/>
      <c r="I15" s="19">
        <f t="shared" si="1"/>
        <v>0</v>
      </c>
      <c r="K15" s="36">
        <v>0</v>
      </c>
      <c r="L15" s="19"/>
      <c r="M15" s="19">
        <f t="shared" si="2"/>
        <v>0</v>
      </c>
      <c r="N15" s="36"/>
      <c r="O15" s="19">
        <f t="shared" si="3"/>
        <v>0</v>
      </c>
      <c r="P15" s="11"/>
      <c r="Q15" s="19">
        <v>0</v>
      </c>
      <c r="R15" s="19"/>
      <c r="S15" s="19">
        <f t="shared" si="4"/>
        <v>0</v>
      </c>
      <c r="T15" s="36"/>
      <c r="U15" s="19">
        <f t="shared" si="5"/>
        <v>0</v>
      </c>
    </row>
    <row r="16" spans="1:21" x14ac:dyDescent="0.25">
      <c r="B16" s="9"/>
      <c r="C16" s="10" t="s">
        <v>99</v>
      </c>
      <c r="D16" s="11"/>
      <c r="E16" s="19">
        <v>2692522</v>
      </c>
      <c r="F16" s="19">
        <v>31853</v>
      </c>
      <c r="G16" s="19">
        <f t="shared" si="0"/>
        <v>2724375</v>
      </c>
      <c r="H16" s="36"/>
      <c r="I16" s="19">
        <f t="shared" si="1"/>
        <v>2724375</v>
      </c>
      <c r="K16" s="36">
        <v>2230401</v>
      </c>
      <c r="L16" s="19">
        <v>25583</v>
      </c>
      <c r="M16" s="19">
        <f t="shared" si="2"/>
        <v>2255984</v>
      </c>
      <c r="N16" s="36"/>
      <c r="O16" s="19">
        <f t="shared" si="3"/>
        <v>2255984</v>
      </c>
      <c r="P16" s="11"/>
      <c r="Q16" s="19">
        <v>2028637</v>
      </c>
      <c r="R16" s="19">
        <v>26371</v>
      </c>
      <c r="S16" s="19">
        <f t="shared" si="4"/>
        <v>2055008</v>
      </c>
      <c r="T16" s="36"/>
      <c r="U16" s="19">
        <f t="shared" si="5"/>
        <v>2055008</v>
      </c>
    </row>
    <row r="17" spans="2:21" x14ac:dyDescent="0.25">
      <c r="B17" s="9"/>
      <c r="C17" s="38" t="s">
        <v>181</v>
      </c>
      <c r="D17" s="11"/>
      <c r="E17" s="19"/>
      <c r="F17" s="19"/>
      <c r="G17" s="19">
        <f t="shared" si="0"/>
        <v>0</v>
      </c>
      <c r="H17" s="36"/>
      <c r="I17" s="19">
        <f t="shared" si="1"/>
        <v>0</v>
      </c>
      <c r="K17" s="36">
        <v>366832</v>
      </c>
      <c r="L17" s="19"/>
      <c r="M17" s="19">
        <f t="shared" si="2"/>
        <v>366832</v>
      </c>
      <c r="N17" s="36"/>
      <c r="O17" s="19">
        <f t="shared" si="3"/>
        <v>366832</v>
      </c>
      <c r="P17" s="11"/>
      <c r="Q17" s="19">
        <v>0</v>
      </c>
      <c r="R17" s="19"/>
      <c r="S17" s="19">
        <f t="shared" si="4"/>
        <v>0</v>
      </c>
      <c r="T17" s="36"/>
      <c r="U17" s="19">
        <f t="shared" si="5"/>
        <v>0</v>
      </c>
    </row>
    <row r="18" spans="2:21" x14ac:dyDescent="0.25">
      <c r="B18" s="9"/>
      <c r="C18" s="10" t="s">
        <v>100</v>
      </c>
      <c r="D18" s="11"/>
      <c r="E18" s="19">
        <f>-ER!D34</f>
        <v>3976474</v>
      </c>
      <c r="F18" s="19">
        <f>-ER!E34</f>
        <v>1692982</v>
      </c>
      <c r="G18" s="19">
        <f t="shared" si="0"/>
        <v>5669456</v>
      </c>
      <c r="H18" s="36"/>
      <c r="I18" s="19">
        <f t="shared" si="1"/>
        <v>5669456</v>
      </c>
      <c r="K18" s="36">
        <v>2404929</v>
      </c>
      <c r="L18" s="19"/>
      <c r="M18" s="19">
        <f t="shared" si="2"/>
        <v>2404929</v>
      </c>
      <c r="N18" s="36"/>
      <c r="O18" s="19">
        <f t="shared" si="3"/>
        <v>2404929</v>
      </c>
      <c r="P18" s="11"/>
      <c r="Q18" s="19">
        <v>3074772</v>
      </c>
      <c r="R18" s="19"/>
      <c r="S18" s="19">
        <f t="shared" si="4"/>
        <v>3074772</v>
      </c>
      <c r="T18" s="36"/>
      <c r="U18" s="19">
        <f t="shared" si="5"/>
        <v>3074772</v>
      </c>
    </row>
    <row r="19" spans="2:21" x14ac:dyDescent="0.25">
      <c r="B19" s="9"/>
      <c r="C19" s="10" t="s">
        <v>101</v>
      </c>
      <c r="D19" s="11"/>
      <c r="E19" s="19">
        <v>2973618</v>
      </c>
      <c r="F19" s="19">
        <f>236814+94216</f>
        <v>331030</v>
      </c>
      <c r="G19" s="19">
        <f t="shared" si="0"/>
        <v>3304648</v>
      </c>
      <c r="H19" s="36"/>
      <c r="I19" s="19">
        <f t="shared" si="1"/>
        <v>3304648</v>
      </c>
      <c r="K19" s="36">
        <v>1293142</v>
      </c>
      <c r="L19" s="19">
        <v>251418</v>
      </c>
      <c r="M19" s="19">
        <f t="shared" si="2"/>
        <v>1544560</v>
      </c>
      <c r="N19" s="36"/>
      <c r="O19" s="19">
        <f t="shared" si="3"/>
        <v>1544560</v>
      </c>
      <c r="P19" s="11"/>
      <c r="Q19" s="19">
        <v>1591304</v>
      </c>
      <c r="R19" s="19"/>
      <c r="S19" s="19">
        <f t="shared" si="4"/>
        <v>1591304</v>
      </c>
      <c r="T19" s="36"/>
      <c r="U19" s="19">
        <f t="shared" si="5"/>
        <v>1591304</v>
      </c>
    </row>
    <row r="20" spans="2:21" x14ac:dyDescent="0.25">
      <c r="B20" s="9"/>
      <c r="C20" s="10" t="s">
        <v>442</v>
      </c>
      <c r="D20" s="11"/>
      <c r="E20" s="19"/>
      <c r="F20" s="19"/>
      <c r="G20" s="19">
        <f t="shared" si="0"/>
        <v>0</v>
      </c>
      <c r="H20" s="36"/>
      <c r="I20" s="19">
        <f>+'Hoja de trabajo'!B86</f>
        <v>358270.24999999953</v>
      </c>
      <c r="K20" s="36">
        <v>7559526</v>
      </c>
      <c r="L20" s="19"/>
      <c r="M20" s="19">
        <f t="shared" si="2"/>
        <v>7559526</v>
      </c>
      <c r="N20" s="36"/>
      <c r="O20" s="19">
        <f t="shared" si="3"/>
        <v>7559526</v>
      </c>
      <c r="P20" s="11"/>
      <c r="Q20" s="19">
        <f>1308073+234029</f>
        <v>1542102</v>
      </c>
      <c r="R20" s="19">
        <v>175726</v>
      </c>
      <c r="S20" s="19">
        <f t="shared" si="4"/>
        <v>1717828</v>
      </c>
      <c r="T20" s="36"/>
      <c r="U20" s="19">
        <f t="shared" si="5"/>
        <v>1717828</v>
      </c>
    </row>
    <row r="21" spans="2:21" x14ac:dyDescent="0.25">
      <c r="B21" s="9"/>
      <c r="C21" s="10" t="s">
        <v>259</v>
      </c>
      <c r="D21" s="11"/>
      <c r="E21" s="19"/>
      <c r="F21" s="19"/>
      <c r="G21" s="19">
        <f t="shared" si="0"/>
        <v>0</v>
      </c>
      <c r="H21" s="36"/>
      <c r="I21" s="19">
        <f>+'Hoja de trabajo'!K39</f>
        <v>-1881937</v>
      </c>
      <c r="K21" s="36">
        <v>251108</v>
      </c>
      <c r="L21" s="19"/>
      <c r="M21" s="19">
        <f t="shared" si="2"/>
        <v>251108</v>
      </c>
      <c r="N21" s="36"/>
      <c r="O21" s="19">
        <f t="shared" si="3"/>
        <v>251108</v>
      </c>
      <c r="P21" s="11"/>
      <c r="Q21" s="19"/>
      <c r="R21" s="19"/>
      <c r="S21" s="19">
        <f t="shared" si="4"/>
        <v>0</v>
      </c>
      <c r="T21" s="36"/>
      <c r="U21" s="19">
        <f t="shared" si="5"/>
        <v>0</v>
      </c>
    </row>
    <row r="22" spans="2:21" x14ac:dyDescent="0.25">
      <c r="B22" s="9"/>
      <c r="C22" s="10" t="s">
        <v>232</v>
      </c>
      <c r="D22" s="11"/>
      <c r="E22" s="19"/>
      <c r="F22" s="19">
        <v>-73587</v>
      </c>
      <c r="G22" s="19">
        <f t="shared" si="0"/>
        <v>-73587</v>
      </c>
      <c r="H22" s="36"/>
      <c r="I22" s="19">
        <f t="shared" si="1"/>
        <v>-73587</v>
      </c>
      <c r="K22" s="36">
        <v>-261500</v>
      </c>
      <c r="L22" s="19"/>
      <c r="M22" s="19">
        <f t="shared" si="2"/>
        <v>-261500</v>
      </c>
      <c r="N22" s="36">
        <f>-ER!M35</f>
        <v>555396.5</v>
      </c>
      <c r="O22" s="19">
        <f t="shared" si="3"/>
        <v>293896.5</v>
      </c>
      <c r="P22" s="11"/>
      <c r="Q22" s="19">
        <v>476468</v>
      </c>
      <c r="R22" s="19"/>
      <c r="S22" s="19"/>
      <c r="T22" s="36"/>
      <c r="U22" s="19"/>
    </row>
    <row r="23" spans="2:21" x14ac:dyDescent="0.25">
      <c r="B23" s="9"/>
      <c r="C23" s="10"/>
      <c r="D23" s="11"/>
      <c r="E23" s="22">
        <f>SUM(E8:E22)</f>
        <v>51381438</v>
      </c>
      <c r="F23" s="22">
        <f>SUM(F8:F22)</f>
        <v>22113436</v>
      </c>
      <c r="G23" s="22">
        <f t="shared" ref="G23:I23" si="6">SUM(G8:G22)</f>
        <v>73494874</v>
      </c>
      <c r="H23" s="22">
        <f t="shared" si="6"/>
        <v>2120374</v>
      </c>
      <c r="I23" s="22">
        <f t="shared" si="6"/>
        <v>74091581.25</v>
      </c>
      <c r="K23" s="45">
        <f>SUM(K8:K22)</f>
        <v>49470665.449999988</v>
      </c>
      <c r="L23" s="45">
        <f t="shared" ref="L23:O23" si="7">SUM(L8:L22)</f>
        <v>15821421</v>
      </c>
      <c r="M23" s="45">
        <f t="shared" si="7"/>
        <v>65292086.449999988</v>
      </c>
      <c r="N23" s="45">
        <f t="shared" si="7"/>
        <v>-5531508.5</v>
      </c>
      <c r="O23" s="45">
        <f t="shared" si="7"/>
        <v>59760577.949999988</v>
      </c>
      <c r="P23" s="11"/>
      <c r="Q23" s="22">
        <f>SUM(Q8:Q22)</f>
        <v>37584573</v>
      </c>
      <c r="R23" s="162">
        <f>SUM(R8:R21)</f>
        <v>12250363</v>
      </c>
      <c r="S23" s="22">
        <f>SUM(S8:S21)</f>
        <v>49358468</v>
      </c>
      <c r="T23" s="45">
        <f>SUM(T8:T21)</f>
        <v>-7157121</v>
      </c>
      <c r="U23" s="22">
        <f>SUM(U8:U21)</f>
        <v>42201347</v>
      </c>
    </row>
    <row r="24" spans="2:21" x14ac:dyDescent="0.25">
      <c r="B24" s="33" t="s">
        <v>102</v>
      </c>
      <c r="C24" s="10"/>
      <c r="D24" s="11"/>
      <c r="E24" s="19"/>
      <c r="F24" s="19"/>
      <c r="G24" s="19"/>
      <c r="H24" s="36"/>
      <c r="I24" s="19"/>
      <c r="K24" s="36"/>
      <c r="L24" s="19"/>
      <c r="M24" s="19"/>
      <c r="N24" s="36"/>
      <c r="O24" s="19"/>
      <c r="P24" s="11"/>
      <c r="Q24" s="19"/>
      <c r="R24" s="19"/>
      <c r="S24" s="19"/>
      <c r="T24" s="36"/>
      <c r="U24" s="19"/>
    </row>
    <row r="25" spans="2:21" x14ac:dyDescent="0.25">
      <c r="B25" s="9"/>
      <c r="C25" s="10" t="s">
        <v>103</v>
      </c>
      <c r="D25" s="11"/>
      <c r="E25" s="19"/>
      <c r="F25" s="19"/>
      <c r="G25" s="19">
        <f t="shared" ref="G25:G41" si="8">+E25+F25</f>
        <v>0</v>
      </c>
      <c r="H25" s="36"/>
      <c r="I25" s="19">
        <f>+'Hoja de trabajo'!B81</f>
        <v>-4095201</v>
      </c>
      <c r="K25" s="36">
        <v>3944169</v>
      </c>
      <c r="L25" s="36">
        <v>-602469</v>
      </c>
      <c r="M25" s="19">
        <f t="shared" ref="M25:M45" si="9">+K25+L25</f>
        <v>3341700</v>
      </c>
      <c r="N25" s="36"/>
      <c r="O25" s="19">
        <f t="shared" ref="O25:O41" si="10">+M25+N25</f>
        <v>3341700</v>
      </c>
      <c r="P25" s="11"/>
      <c r="Q25" s="19">
        <v>2173914</v>
      </c>
      <c r="R25" s="19">
        <v>153450</v>
      </c>
      <c r="S25" s="19">
        <f t="shared" ref="S25:S41" si="11">+Q25+R25</f>
        <v>2327364</v>
      </c>
      <c r="T25" s="36"/>
      <c r="U25" s="19">
        <f t="shared" ref="U25:U41" si="12">+S25+T25</f>
        <v>2327364</v>
      </c>
    </row>
    <row r="26" spans="2:21" x14ac:dyDescent="0.25">
      <c r="B26" s="9"/>
      <c r="C26" s="10" t="s">
        <v>104</v>
      </c>
      <c r="D26" s="11"/>
      <c r="E26" s="19"/>
      <c r="F26" s="19"/>
      <c r="G26" s="19">
        <f t="shared" si="8"/>
        <v>0</v>
      </c>
      <c r="H26" s="36"/>
      <c r="I26" s="19">
        <f>+'Hoja de trabajo'!C9+'Hoja de trabajo'!C19</f>
        <v>7403111</v>
      </c>
      <c r="K26" s="36">
        <v>-10765719</v>
      </c>
      <c r="L26" s="36">
        <v>-5894109</v>
      </c>
      <c r="M26" s="19">
        <f t="shared" si="9"/>
        <v>-16659828</v>
      </c>
      <c r="N26" s="36"/>
      <c r="O26" s="19">
        <f t="shared" si="10"/>
        <v>-16659828</v>
      </c>
      <c r="P26" s="11"/>
      <c r="Q26" s="19">
        <v>-16324141</v>
      </c>
      <c r="R26" s="19"/>
      <c r="S26" s="19">
        <f t="shared" si="11"/>
        <v>-16324141</v>
      </c>
      <c r="T26" s="36"/>
      <c r="U26" s="19">
        <f t="shared" si="12"/>
        <v>-16324141</v>
      </c>
    </row>
    <row r="27" spans="2:21" x14ac:dyDescent="0.25">
      <c r="B27" s="9"/>
      <c r="C27" s="10" t="s">
        <v>19</v>
      </c>
      <c r="D27" s="11"/>
      <c r="E27" s="19"/>
      <c r="F27" s="19"/>
      <c r="G27" s="19">
        <f t="shared" si="8"/>
        <v>0</v>
      </c>
      <c r="H27" s="36"/>
      <c r="I27" s="19">
        <f>+'Hoja de trabajo'!C11+'Hoja de trabajo'!C18</f>
        <v>-11858132</v>
      </c>
      <c r="K27" s="36">
        <v>-233583</v>
      </c>
      <c r="L27" s="36">
        <f>-8535012-L26-L25</f>
        <v>-2038434</v>
      </c>
      <c r="M27" s="19">
        <f t="shared" si="9"/>
        <v>-2272017</v>
      </c>
      <c r="N27" s="36"/>
      <c r="O27" s="19">
        <f t="shared" si="10"/>
        <v>-2272017</v>
      </c>
      <c r="P27" s="11"/>
      <c r="Q27" s="19">
        <v>-6350190</v>
      </c>
      <c r="R27" s="19"/>
      <c r="S27" s="19">
        <f t="shared" si="11"/>
        <v>-6350190</v>
      </c>
      <c r="T27" s="36"/>
      <c r="U27" s="19">
        <f t="shared" si="12"/>
        <v>-6350190</v>
      </c>
    </row>
    <row r="28" spans="2:21" x14ac:dyDescent="0.25">
      <c r="B28" s="9"/>
      <c r="C28" s="10" t="s">
        <v>10</v>
      </c>
      <c r="D28" s="11"/>
      <c r="E28" s="19"/>
      <c r="F28" s="19"/>
      <c r="G28" s="19">
        <f t="shared" si="8"/>
        <v>0</v>
      </c>
      <c r="H28" s="36"/>
      <c r="I28" s="19">
        <f>+'Hoja de trabajo'!C10</f>
        <v>1714619</v>
      </c>
      <c r="K28" s="36">
        <v>475548</v>
      </c>
      <c r="L28" s="19"/>
      <c r="M28" s="19">
        <f t="shared" si="9"/>
        <v>475548</v>
      </c>
      <c r="N28" s="36"/>
      <c r="O28" s="19">
        <f t="shared" si="10"/>
        <v>475548</v>
      </c>
      <c r="P28" s="11"/>
      <c r="Q28" s="19">
        <v>546462</v>
      </c>
      <c r="R28" s="19"/>
      <c r="S28" s="19">
        <f t="shared" si="11"/>
        <v>546462</v>
      </c>
      <c r="T28" s="36"/>
      <c r="U28" s="19">
        <f t="shared" si="12"/>
        <v>546462</v>
      </c>
    </row>
    <row r="29" spans="2:21" x14ac:dyDescent="0.25">
      <c r="B29" s="9"/>
      <c r="C29" s="10" t="s">
        <v>11</v>
      </c>
      <c r="D29" s="11"/>
      <c r="E29" s="19"/>
      <c r="F29" s="19"/>
      <c r="G29" s="19">
        <f t="shared" si="8"/>
        <v>0</v>
      </c>
      <c r="H29" s="36"/>
      <c r="I29" s="19">
        <f>+'Hoja de trabajo'!C12</f>
        <v>-246230</v>
      </c>
      <c r="K29" s="36">
        <v>124930</v>
      </c>
      <c r="L29" s="19"/>
      <c r="M29" s="19">
        <f t="shared" si="9"/>
        <v>124930</v>
      </c>
      <c r="N29" s="36"/>
      <c r="O29" s="19">
        <f t="shared" si="10"/>
        <v>124930</v>
      </c>
      <c r="P29" s="11"/>
      <c r="Q29" s="19">
        <v>1692356</v>
      </c>
      <c r="R29" s="19"/>
      <c r="S29" s="19">
        <f t="shared" si="11"/>
        <v>1692356</v>
      </c>
      <c r="T29" s="36"/>
      <c r="U29" s="19">
        <f t="shared" si="12"/>
        <v>1692356</v>
      </c>
    </row>
    <row r="30" spans="2:21" x14ac:dyDescent="0.25">
      <c r="B30" s="9"/>
      <c r="C30" s="10" t="s">
        <v>12</v>
      </c>
      <c r="D30" s="11"/>
      <c r="E30" s="19"/>
      <c r="F30" s="19"/>
      <c r="G30" s="19">
        <f t="shared" si="8"/>
        <v>0</v>
      </c>
      <c r="H30" s="36"/>
      <c r="I30" s="19">
        <f>+'Hoja de trabajo'!C13</f>
        <v>-4679936.66</v>
      </c>
      <c r="K30" s="36">
        <v>-9031384</v>
      </c>
      <c r="L30" s="19"/>
      <c r="M30" s="19">
        <f t="shared" si="9"/>
        <v>-9031384</v>
      </c>
      <c r="N30" s="36"/>
      <c r="O30" s="19">
        <f t="shared" si="10"/>
        <v>-9031384</v>
      </c>
      <c r="P30" s="11"/>
      <c r="Q30" s="19">
        <v>3855566</v>
      </c>
      <c r="R30" s="19">
        <v>16620</v>
      </c>
      <c r="S30" s="19">
        <f t="shared" si="11"/>
        <v>3872186</v>
      </c>
      <c r="T30" s="36"/>
      <c r="U30" s="19">
        <f t="shared" si="12"/>
        <v>3872186</v>
      </c>
    </row>
    <row r="31" spans="2:21" x14ac:dyDescent="0.25">
      <c r="B31" s="9"/>
      <c r="C31" s="10" t="s">
        <v>49</v>
      </c>
      <c r="D31" s="11"/>
      <c r="E31" s="19"/>
      <c r="F31" s="19"/>
      <c r="G31" s="19">
        <f t="shared" si="8"/>
        <v>0</v>
      </c>
      <c r="H31" s="36"/>
      <c r="I31" s="19">
        <f>+'Hoja de trabajo'!C25</f>
        <v>84286</v>
      </c>
      <c r="K31" s="36"/>
      <c r="L31" s="19">
        <v>-86645</v>
      </c>
      <c r="M31" s="19">
        <f t="shared" si="9"/>
        <v>-86645</v>
      </c>
      <c r="N31" s="36"/>
      <c r="O31" s="19">
        <f t="shared" si="10"/>
        <v>-86645</v>
      </c>
      <c r="P31" s="11"/>
      <c r="Q31" s="19">
        <v>-1495</v>
      </c>
      <c r="R31" s="19">
        <v>-97195</v>
      </c>
      <c r="S31" s="19">
        <f t="shared" si="11"/>
        <v>-98690</v>
      </c>
      <c r="T31" s="36"/>
      <c r="U31" s="19">
        <f t="shared" si="12"/>
        <v>-98690</v>
      </c>
    </row>
    <row r="32" spans="2:21" x14ac:dyDescent="0.25">
      <c r="B32" s="9"/>
      <c r="C32" s="10" t="s">
        <v>105</v>
      </c>
      <c r="D32" s="11"/>
      <c r="E32" s="19"/>
      <c r="F32" s="19"/>
      <c r="G32" s="19">
        <f t="shared" si="8"/>
        <v>0</v>
      </c>
      <c r="H32" s="36"/>
      <c r="I32" s="19">
        <f>+'Hoja de trabajo'!L8+'Hoja de trabajo'!L20</f>
        <v>4254342</v>
      </c>
      <c r="K32" s="36">
        <v>-2518955</v>
      </c>
      <c r="L32" s="19">
        <v>94649</v>
      </c>
      <c r="M32" s="19">
        <f t="shared" si="9"/>
        <v>-2424306</v>
      </c>
      <c r="N32" s="36"/>
      <c r="O32" s="19">
        <f t="shared" si="10"/>
        <v>-2424306</v>
      </c>
      <c r="P32" s="11"/>
      <c r="Q32" s="19">
        <v>-3759434</v>
      </c>
      <c r="R32" s="19">
        <v>-751038</v>
      </c>
      <c r="S32" s="19">
        <f t="shared" si="11"/>
        <v>-4510472</v>
      </c>
      <c r="T32" s="36"/>
      <c r="U32" s="19">
        <f t="shared" si="12"/>
        <v>-4510472</v>
      </c>
    </row>
    <row r="33" spans="2:21" x14ac:dyDescent="0.25">
      <c r="B33" s="9"/>
      <c r="C33" s="10" t="s">
        <v>106</v>
      </c>
      <c r="D33" s="11"/>
      <c r="E33" s="19"/>
      <c r="F33" s="19"/>
      <c r="G33" s="19">
        <f t="shared" si="8"/>
        <v>0</v>
      </c>
      <c r="H33" s="36"/>
      <c r="I33" s="19">
        <f>+'Hoja de trabajo'!L9+'Hoja de trabajo'!L21</f>
        <v>-7642880</v>
      </c>
      <c r="K33" s="36">
        <v>618571</v>
      </c>
      <c r="L33" s="36">
        <v>5583218</v>
      </c>
      <c r="M33" s="19">
        <f t="shared" si="9"/>
        <v>6201789</v>
      </c>
      <c r="N33" s="36"/>
      <c r="O33" s="19">
        <f t="shared" si="10"/>
        <v>6201789</v>
      </c>
      <c r="P33" s="11"/>
      <c r="Q33" s="19">
        <v>1235126</v>
      </c>
      <c r="R33" s="19"/>
      <c r="S33" s="19">
        <f t="shared" si="11"/>
        <v>1235126</v>
      </c>
      <c r="T33" s="36"/>
      <c r="U33" s="19">
        <f t="shared" si="12"/>
        <v>1235126</v>
      </c>
    </row>
    <row r="34" spans="2:21" x14ac:dyDescent="0.25">
      <c r="B34" s="9"/>
      <c r="C34" s="10" t="s">
        <v>107</v>
      </c>
      <c r="D34" s="11"/>
      <c r="E34" s="19"/>
      <c r="F34" s="19"/>
      <c r="G34" s="19">
        <f t="shared" si="8"/>
        <v>0</v>
      </c>
      <c r="H34" s="36"/>
      <c r="I34" s="19">
        <f>+'Hoja de trabajo'!B70</f>
        <v>-7470499.25</v>
      </c>
      <c r="K34" s="36">
        <v>2484728</v>
      </c>
      <c r="L34" s="36">
        <v>-1023114</v>
      </c>
      <c r="M34" s="19">
        <f t="shared" si="9"/>
        <v>1461614</v>
      </c>
      <c r="N34" s="36"/>
      <c r="O34" s="19">
        <f t="shared" si="10"/>
        <v>1461614</v>
      </c>
      <c r="P34" s="11"/>
      <c r="Q34" s="19">
        <v>64755</v>
      </c>
      <c r="R34" s="19">
        <v>-273465</v>
      </c>
      <c r="S34" s="19">
        <f t="shared" si="11"/>
        <v>-208710</v>
      </c>
      <c r="T34" s="36"/>
      <c r="U34" s="19">
        <f t="shared" si="12"/>
        <v>-208710</v>
      </c>
    </row>
    <row r="35" spans="2:21" x14ac:dyDescent="0.25">
      <c r="B35" s="9"/>
      <c r="C35" s="10" t="s">
        <v>108</v>
      </c>
      <c r="D35" s="11"/>
      <c r="E35" s="19"/>
      <c r="F35" s="19"/>
      <c r="G35" s="19">
        <f t="shared" si="8"/>
        <v>0</v>
      </c>
      <c r="H35" s="36"/>
      <c r="I35" s="19">
        <f>+'Hoja de trabajo'!L11+'Hoja de trabajo'!L22</f>
        <v>18101009</v>
      </c>
      <c r="K35" s="36">
        <v>-4641544</v>
      </c>
      <c r="L35" s="36">
        <f>5964089-L33-L32</f>
        <v>286222</v>
      </c>
      <c r="M35" s="19">
        <f t="shared" si="9"/>
        <v>-4355322</v>
      </c>
      <c r="N35" s="36">
        <v>-295764</v>
      </c>
      <c r="O35" s="19">
        <f t="shared" si="10"/>
        <v>-4651086</v>
      </c>
      <c r="P35" s="11"/>
      <c r="Q35" s="19">
        <v>4568360</v>
      </c>
      <c r="R35" s="19"/>
      <c r="S35" s="19">
        <f t="shared" si="11"/>
        <v>4568360</v>
      </c>
      <c r="T35" s="36"/>
      <c r="U35" s="19">
        <f t="shared" si="12"/>
        <v>4568360</v>
      </c>
    </row>
    <row r="36" spans="2:21" x14ac:dyDescent="0.25">
      <c r="B36" s="9"/>
      <c r="C36" s="38" t="s">
        <v>348</v>
      </c>
      <c r="D36" s="11"/>
      <c r="E36" s="19"/>
      <c r="F36" s="19"/>
      <c r="G36" s="19"/>
      <c r="H36" s="36"/>
      <c r="I36" s="19">
        <f>+'Hoja de trabajo'!L12+'Hoja de trabajo'!L24</f>
        <v>-8643863</v>
      </c>
      <c r="K36" s="36"/>
      <c r="L36" s="36"/>
      <c r="M36" s="19">
        <f t="shared" si="9"/>
        <v>0</v>
      </c>
      <c r="N36" s="36"/>
      <c r="O36" s="19">
        <f t="shared" si="10"/>
        <v>0</v>
      </c>
      <c r="P36" s="11"/>
      <c r="Q36" s="19"/>
      <c r="R36" s="19"/>
      <c r="S36" s="19"/>
      <c r="T36" s="36"/>
      <c r="U36" s="19"/>
    </row>
    <row r="37" spans="2:21" x14ac:dyDescent="0.25">
      <c r="B37" s="9"/>
      <c r="C37" s="10" t="s">
        <v>34</v>
      </c>
      <c r="D37" s="11"/>
      <c r="E37" s="19"/>
      <c r="F37" s="19"/>
      <c r="G37" s="19">
        <f t="shared" si="8"/>
        <v>0</v>
      </c>
      <c r="H37" s="36"/>
      <c r="I37" s="19">
        <v>0</v>
      </c>
      <c r="K37" s="36">
        <v>-81914</v>
      </c>
      <c r="L37" s="36"/>
      <c r="M37" s="19">
        <f t="shared" si="9"/>
        <v>-81914</v>
      </c>
      <c r="N37" s="36"/>
      <c r="O37" s="19">
        <f t="shared" si="10"/>
        <v>-81914</v>
      </c>
      <c r="P37" s="11"/>
      <c r="Q37" s="19">
        <v>-2404770</v>
      </c>
      <c r="R37" s="19"/>
      <c r="S37" s="19">
        <f t="shared" si="11"/>
        <v>-2404770</v>
      </c>
      <c r="T37" s="36"/>
      <c r="U37" s="19">
        <f t="shared" si="12"/>
        <v>-2404770</v>
      </c>
    </row>
    <row r="38" spans="2:21" x14ac:dyDescent="0.25">
      <c r="B38" s="9"/>
      <c r="C38" s="10" t="s">
        <v>35</v>
      </c>
      <c r="D38" s="11"/>
      <c r="E38" s="19"/>
      <c r="F38" s="19"/>
      <c r="G38" s="19">
        <f t="shared" si="8"/>
        <v>0</v>
      </c>
      <c r="H38" s="36"/>
      <c r="I38" s="19">
        <f>+'Hoja de trabajo'!B76</f>
        <v>-637915</v>
      </c>
      <c r="K38" s="36">
        <v>577820</v>
      </c>
      <c r="L38" s="19">
        <v>417024</v>
      </c>
      <c r="M38" s="19">
        <f t="shared" si="9"/>
        <v>994844</v>
      </c>
      <c r="N38" s="36"/>
      <c r="O38" s="19">
        <f t="shared" si="10"/>
        <v>994844</v>
      </c>
      <c r="P38" s="11"/>
      <c r="Q38" s="19">
        <v>344260</v>
      </c>
      <c r="R38" s="19">
        <v>-620687</v>
      </c>
      <c r="S38" s="19">
        <f t="shared" si="11"/>
        <v>-276427</v>
      </c>
      <c r="T38" s="36"/>
      <c r="U38" s="19">
        <f t="shared" si="12"/>
        <v>-276427</v>
      </c>
    </row>
    <row r="39" spans="2:21" hidden="1" x14ac:dyDescent="0.25">
      <c r="B39" s="9"/>
      <c r="C39" s="10" t="s">
        <v>129</v>
      </c>
      <c r="D39" s="11"/>
      <c r="E39" s="19"/>
      <c r="F39" s="19"/>
      <c r="G39" s="19">
        <f t="shared" si="8"/>
        <v>0</v>
      </c>
      <c r="H39" s="36"/>
      <c r="I39" s="19">
        <f t="shared" ref="I39:I40" si="13">+G39+H39</f>
        <v>0</v>
      </c>
      <c r="K39" s="36"/>
      <c r="L39" s="19"/>
      <c r="M39" s="19">
        <f t="shared" si="9"/>
        <v>0</v>
      </c>
      <c r="N39" s="36"/>
      <c r="O39" s="19">
        <f t="shared" si="10"/>
        <v>0</v>
      </c>
      <c r="P39" s="11"/>
      <c r="Q39" s="19"/>
      <c r="R39" s="19"/>
      <c r="S39" s="19">
        <f t="shared" si="11"/>
        <v>0</v>
      </c>
      <c r="T39" s="36"/>
      <c r="U39" s="19">
        <f t="shared" si="12"/>
        <v>0</v>
      </c>
    </row>
    <row r="40" spans="2:21" hidden="1" x14ac:dyDescent="0.25">
      <c r="B40" s="9"/>
      <c r="C40" s="10" t="s">
        <v>36</v>
      </c>
      <c r="D40" s="11"/>
      <c r="E40" s="19"/>
      <c r="F40" s="19"/>
      <c r="G40" s="19">
        <f t="shared" si="8"/>
        <v>0</v>
      </c>
      <c r="H40" s="36"/>
      <c r="I40" s="19">
        <f t="shared" si="13"/>
        <v>0</v>
      </c>
      <c r="K40" s="36"/>
      <c r="L40" s="19"/>
      <c r="M40" s="19">
        <f t="shared" si="9"/>
        <v>0</v>
      </c>
      <c r="N40" s="36"/>
      <c r="O40" s="19">
        <f t="shared" si="10"/>
        <v>0</v>
      </c>
      <c r="P40" s="11"/>
      <c r="Q40" s="19"/>
      <c r="R40" s="19"/>
      <c r="S40" s="19">
        <f t="shared" si="11"/>
        <v>0</v>
      </c>
      <c r="T40" s="36"/>
      <c r="U40" s="19">
        <f t="shared" si="12"/>
        <v>0</v>
      </c>
    </row>
    <row r="41" spans="2:21" x14ac:dyDescent="0.25">
      <c r="B41" s="9"/>
      <c r="C41" s="10" t="s">
        <v>39</v>
      </c>
      <c r="D41" s="11"/>
      <c r="E41" s="25"/>
      <c r="F41" s="25"/>
      <c r="G41" s="19">
        <f t="shared" si="8"/>
        <v>0</v>
      </c>
      <c r="H41" s="36"/>
      <c r="I41" s="19">
        <v>0</v>
      </c>
      <c r="K41" s="49">
        <v>-992443</v>
      </c>
      <c r="L41" s="25"/>
      <c r="M41" s="19">
        <f t="shared" si="9"/>
        <v>-992443</v>
      </c>
      <c r="N41" s="36"/>
      <c r="O41" s="19">
        <f t="shared" si="10"/>
        <v>-992443</v>
      </c>
      <c r="P41" s="11"/>
      <c r="Q41" s="25">
        <v>-2999556</v>
      </c>
      <c r="R41" s="25"/>
      <c r="S41" s="19">
        <f t="shared" si="11"/>
        <v>-2999556</v>
      </c>
      <c r="T41" s="36"/>
      <c r="U41" s="19">
        <f t="shared" si="12"/>
        <v>-2999556</v>
      </c>
    </row>
    <row r="42" spans="2:21" x14ac:dyDescent="0.25">
      <c r="B42" s="33" t="s">
        <v>109</v>
      </c>
      <c r="C42" s="10"/>
      <c r="D42" s="11"/>
      <c r="E42" s="19">
        <f>SUM(E23:E41)</f>
        <v>51381438</v>
      </c>
      <c r="F42" s="19">
        <f>SUM(F23:F41)</f>
        <v>22113436</v>
      </c>
      <c r="G42" s="22">
        <f>SUM(G23:G41)</f>
        <v>73494874</v>
      </c>
      <c r="H42" s="45">
        <f>SUM(H23:H41)</f>
        <v>2120374</v>
      </c>
      <c r="I42" s="22">
        <f>SUM(I23:I41)</f>
        <v>60374291.340000004</v>
      </c>
      <c r="K42" s="36">
        <f>SUM(K23:K41)</f>
        <v>29430889.449999988</v>
      </c>
      <c r="L42" s="19">
        <f>SUM(L23:L41)</f>
        <v>12557763</v>
      </c>
      <c r="M42" s="22">
        <f>SUM(M23:M41)</f>
        <v>41988652.449999988</v>
      </c>
      <c r="N42" s="45">
        <f>SUM(N23:N41)</f>
        <v>-5827272.5</v>
      </c>
      <c r="O42" s="22">
        <f>SUM(O23:O41)</f>
        <v>36161379.949999988</v>
      </c>
      <c r="P42" s="11"/>
      <c r="Q42" s="19">
        <f>SUM(Q23:Q41)</f>
        <v>20225786</v>
      </c>
      <c r="R42" s="19">
        <f>SUM(R23:R41)</f>
        <v>10678048</v>
      </c>
      <c r="S42" s="22">
        <f>SUM(S23:S41)</f>
        <v>30427366</v>
      </c>
      <c r="T42" s="45">
        <f>SUM(T23:T41)</f>
        <v>-7157121</v>
      </c>
      <c r="U42" s="22">
        <f>SUM(U23:U41)</f>
        <v>23270245</v>
      </c>
    </row>
    <row r="43" spans="2:21" x14ac:dyDescent="0.25">
      <c r="B43" s="9"/>
      <c r="C43" s="10" t="s">
        <v>110</v>
      </c>
      <c r="D43" s="11"/>
      <c r="E43" s="19"/>
      <c r="F43" s="19">
        <v>-2091119</v>
      </c>
      <c r="G43" s="19">
        <f t="shared" ref="G43:G45" si="14">+E43+F43</f>
        <v>-2091119</v>
      </c>
      <c r="H43" s="43"/>
      <c r="I43" s="19">
        <f>+G43+H43</f>
        <v>-2091119</v>
      </c>
      <c r="K43" s="36">
        <v>-4237903</v>
      </c>
      <c r="L43" s="19"/>
      <c r="M43" s="19">
        <f t="shared" si="9"/>
        <v>-4237903</v>
      </c>
      <c r="N43" s="43"/>
      <c r="O43" s="19">
        <f>+M43+N43</f>
        <v>-4237903</v>
      </c>
      <c r="P43" s="11"/>
      <c r="Q43" s="19">
        <v>-3550763</v>
      </c>
      <c r="R43" s="19">
        <v>0</v>
      </c>
      <c r="S43" s="19">
        <f t="shared" ref="S43:S45" si="15">+Q43+R43</f>
        <v>-3550763</v>
      </c>
      <c r="T43" s="43"/>
      <c r="U43" s="19">
        <f>+S43+T43</f>
        <v>-3550763</v>
      </c>
    </row>
    <row r="44" spans="2:21" x14ac:dyDescent="0.25">
      <c r="B44" s="9"/>
      <c r="C44" s="10" t="s">
        <v>111</v>
      </c>
      <c r="D44" s="11"/>
      <c r="E44" s="19">
        <v>-2840226</v>
      </c>
      <c r="F44" s="19"/>
      <c r="G44" s="19">
        <f t="shared" si="14"/>
        <v>-2840226</v>
      </c>
      <c r="H44" s="43"/>
      <c r="I44" s="19">
        <f>+G44+H44</f>
        <v>-2840226</v>
      </c>
      <c r="K44" s="36">
        <v>-1591304</v>
      </c>
      <c r="L44" s="19"/>
      <c r="M44" s="19">
        <f t="shared" si="9"/>
        <v>-1591304</v>
      </c>
      <c r="N44" s="43"/>
      <c r="O44" s="19">
        <f>+M44+N44</f>
        <v>-1591304</v>
      </c>
      <c r="P44" s="11"/>
      <c r="Q44" s="19">
        <v>-1759101</v>
      </c>
      <c r="R44" s="19"/>
      <c r="S44" s="19">
        <f t="shared" si="15"/>
        <v>-1759101</v>
      </c>
      <c r="T44" s="43"/>
      <c r="U44" s="19">
        <f>+S44+T44</f>
        <v>-1759101</v>
      </c>
    </row>
    <row r="45" spans="2:21" x14ac:dyDescent="0.25">
      <c r="B45" s="9"/>
      <c r="C45" s="10" t="s">
        <v>112</v>
      </c>
      <c r="D45" s="11"/>
      <c r="E45" s="25"/>
      <c r="F45" s="25"/>
      <c r="G45" s="19">
        <f t="shared" si="14"/>
        <v>0</v>
      </c>
      <c r="H45" s="43"/>
      <c r="I45" s="19">
        <f>+'Hoja de trabajo'!B54</f>
        <v>-685257</v>
      </c>
      <c r="K45" s="49">
        <v>-207177</v>
      </c>
      <c r="L45" s="25"/>
      <c r="M45" s="19">
        <f t="shared" si="9"/>
        <v>-207177</v>
      </c>
      <c r="N45" s="43"/>
      <c r="O45" s="19">
        <f>+M45+N45</f>
        <v>-207177</v>
      </c>
      <c r="P45" s="11"/>
      <c r="Q45" s="25">
        <v>-107410</v>
      </c>
      <c r="R45" s="25"/>
      <c r="S45" s="19">
        <f t="shared" si="15"/>
        <v>-107410</v>
      </c>
      <c r="T45" s="43"/>
      <c r="U45" s="19">
        <f>+S45+T45</f>
        <v>-107410</v>
      </c>
    </row>
    <row r="46" spans="2:21" x14ac:dyDescent="0.25">
      <c r="B46" s="161" t="s">
        <v>113</v>
      </c>
      <c r="C46" s="75"/>
      <c r="D46" s="76"/>
      <c r="E46" s="20">
        <f>SUM(E42:E45)</f>
        <v>48541212</v>
      </c>
      <c r="F46" s="20">
        <f>SUM(F42:F45)</f>
        <v>20022317</v>
      </c>
      <c r="G46" s="20">
        <f>SUM(G42:G45)</f>
        <v>68563529</v>
      </c>
      <c r="H46" s="44">
        <f>SUM(H42:H45)</f>
        <v>2120374</v>
      </c>
      <c r="I46" s="20">
        <f>SUM(I42:I45)</f>
        <v>54757689.340000004</v>
      </c>
      <c r="K46" s="44">
        <f>SUM(K42:K45)</f>
        <v>23394505.449999988</v>
      </c>
      <c r="L46" s="20">
        <f>SUM(L42:L45)</f>
        <v>12557763</v>
      </c>
      <c r="M46" s="20">
        <f>SUM(M42:M45)</f>
        <v>35952268.449999988</v>
      </c>
      <c r="N46" s="44">
        <f>SUM(N42:N45)</f>
        <v>-5827272.5</v>
      </c>
      <c r="O46" s="20">
        <f>SUM(O42:O45)</f>
        <v>30124995.949999988</v>
      </c>
      <c r="P46" s="13"/>
      <c r="Q46" s="20">
        <f>SUM(Q42:Q45)</f>
        <v>14808512</v>
      </c>
      <c r="R46" s="20">
        <f>SUM(R42:R45)</f>
        <v>10678048</v>
      </c>
      <c r="S46" s="20">
        <f>SUM(S42:S45)</f>
        <v>25010092</v>
      </c>
      <c r="T46" s="44">
        <f>SUM(T42:T45)</f>
        <v>-7157121</v>
      </c>
      <c r="U46" s="20">
        <f>SUM(U42:U45)</f>
        <v>17852971</v>
      </c>
    </row>
    <row r="47" spans="2:21" x14ac:dyDescent="0.25">
      <c r="B47" s="6"/>
      <c r="C47" s="7"/>
      <c r="D47" s="8"/>
      <c r="E47" s="19"/>
      <c r="F47" s="19"/>
      <c r="G47" s="15"/>
      <c r="H47" s="43"/>
      <c r="I47" s="15"/>
      <c r="K47" s="36"/>
      <c r="L47" s="19"/>
      <c r="M47" s="15"/>
      <c r="N47" s="43"/>
      <c r="O47" s="15"/>
      <c r="Q47" s="19"/>
      <c r="R47" s="19"/>
      <c r="S47" s="15"/>
      <c r="T47" s="43"/>
      <c r="U47" s="15"/>
    </row>
    <row r="48" spans="2:21" x14ac:dyDescent="0.25">
      <c r="B48" s="33" t="s">
        <v>114</v>
      </c>
      <c r="C48" s="10"/>
      <c r="D48" s="11"/>
      <c r="E48" s="19"/>
      <c r="F48" s="19"/>
      <c r="G48" s="15"/>
      <c r="H48" s="43"/>
      <c r="I48" s="15"/>
      <c r="K48" s="36"/>
      <c r="L48" s="19"/>
      <c r="M48" s="15"/>
      <c r="N48" s="43"/>
      <c r="O48" s="15"/>
      <c r="Q48" s="19"/>
      <c r="R48" s="19"/>
      <c r="S48" s="15"/>
      <c r="T48" s="43"/>
      <c r="U48" s="15"/>
    </row>
    <row r="49" spans="2:21" ht="27.75" customHeight="1" x14ac:dyDescent="0.25">
      <c r="B49" s="9"/>
      <c r="C49" s="295" t="s">
        <v>438</v>
      </c>
      <c r="D49" s="296"/>
      <c r="E49" s="19"/>
      <c r="F49" s="19"/>
      <c r="G49" s="19">
        <f t="shared" ref="G49:G55" si="16">+E49+F49</f>
        <v>0</v>
      </c>
      <c r="H49" s="43"/>
      <c r="I49" s="19">
        <f>+'Hoja de trabajo'!C7</f>
        <v>-965344.68000000017</v>
      </c>
      <c r="K49" s="36">
        <v>251011</v>
      </c>
      <c r="L49" s="19"/>
      <c r="M49" s="19">
        <f t="shared" ref="M49:M57" si="17">+K49+L49</f>
        <v>251011</v>
      </c>
      <c r="N49" s="43"/>
      <c r="O49" s="19">
        <f>+M49+N49</f>
        <v>251011</v>
      </c>
      <c r="Q49" s="19">
        <v>-593863</v>
      </c>
      <c r="R49" s="19"/>
      <c r="S49" s="19">
        <f t="shared" ref="S49:S55" si="18">+Q49+R49</f>
        <v>-593863</v>
      </c>
      <c r="T49" s="43"/>
      <c r="U49" s="19">
        <f>+S49+T49</f>
        <v>-593863</v>
      </c>
    </row>
    <row r="50" spans="2:21" x14ac:dyDescent="0.25">
      <c r="B50" s="9"/>
      <c r="C50" s="158" t="s">
        <v>115</v>
      </c>
      <c r="D50" s="11"/>
      <c r="E50" s="19"/>
      <c r="F50" s="19"/>
      <c r="G50" s="19">
        <f t="shared" si="16"/>
        <v>0</v>
      </c>
      <c r="H50" s="43"/>
      <c r="I50" s="19">
        <f>+'Hoja de trabajo'!C6</f>
        <v>266474</v>
      </c>
      <c r="K50" s="36">
        <v>29809</v>
      </c>
      <c r="L50" s="19">
        <v>-205582</v>
      </c>
      <c r="M50" s="19">
        <f t="shared" si="17"/>
        <v>-175773</v>
      </c>
      <c r="N50" s="43"/>
      <c r="O50" s="19">
        <f>+M50+N50</f>
        <v>-175773</v>
      </c>
      <c r="Q50" s="19">
        <v>5828169</v>
      </c>
      <c r="R50" s="19"/>
      <c r="S50" s="19">
        <f t="shared" si="18"/>
        <v>5828169</v>
      </c>
      <c r="T50" s="43"/>
      <c r="U50" s="19">
        <f t="shared" ref="U50:U57" si="19">+S50+T50</f>
        <v>5828169</v>
      </c>
    </row>
    <row r="51" spans="2:21" x14ac:dyDescent="0.25">
      <c r="B51" s="9"/>
      <c r="C51" s="286" t="s">
        <v>441</v>
      </c>
      <c r="D51" s="11"/>
      <c r="E51" s="19"/>
      <c r="F51" s="19"/>
      <c r="G51" s="19"/>
      <c r="H51" s="43"/>
      <c r="I51" s="19">
        <f>+'Hoja de trabajo'!C23</f>
        <v>-251355</v>
      </c>
      <c r="K51" s="36"/>
      <c r="L51" s="19"/>
      <c r="M51" s="19"/>
      <c r="N51" s="43"/>
      <c r="O51" s="19"/>
      <c r="Q51" s="19"/>
      <c r="R51" s="19"/>
      <c r="S51" s="19"/>
      <c r="T51" s="43"/>
      <c r="U51" s="19"/>
    </row>
    <row r="52" spans="2:21" x14ac:dyDescent="0.25">
      <c r="B52" s="9"/>
      <c r="C52" s="297" t="s">
        <v>439</v>
      </c>
      <c r="D52" s="298"/>
      <c r="E52" s="19"/>
      <c r="F52" s="19">
        <v>205582</v>
      </c>
      <c r="G52" s="19">
        <f t="shared" si="16"/>
        <v>205582</v>
      </c>
      <c r="H52" s="43"/>
      <c r="I52" s="19">
        <f>+'Hoja de trabajo'!B49</f>
        <v>-253825</v>
      </c>
      <c r="K52" s="36"/>
      <c r="L52" s="19"/>
      <c r="M52" s="19">
        <f t="shared" si="17"/>
        <v>0</v>
      </c>
      <c r="N52" s="43"/>
      <c r="O52" s="19"/>
      <c r="Q52" s="19">
        <v>0</v>
      </c>
      <c r="R52" s="19"/>
      <c r="S52" s="19">
        <f t="shared" si="18"/>
        <v>0</v>
      </c>
      <c r="T52" s="43"/>
      <c r="U52" s="19"/>
    </row>
    <row r="53" spans="2:21" x14ac:dyDescent="0.25">
      <c r="B53" s="9"/>
      <c r="C53" s="10" t="s">
        <v>116</v>
      </c>
      <c r="D53" s="11"/>
      <c r="E53" s="19"/>
      <c r="F53" s="19"/>
      <c r="G53" s="19">
        <f t="shared" si="16"/>
        <v>0</v>
      </c>
      <c r="H53" s="43"/>
      <c r="I53" s="19">
        <f>+'Hoja de trabajo'!C24</f>
        <v>0</v>
      </c>
      <c r="K53" s="36">
        <v>1978971</v>
      </c>
      <c r="L53" s="19"/>
      <c r="M53" s="19">
        <f t="shared" si="17"/>
        <v>1978971</v>
      </c>
      <c r="N53" s="43"/>
      <c r="O53" s="19">
        <f>+M53+N53</f>
        <v>1978971</v>
      </c>
      <c r="Q53" s="19">
        <v>-962949</v>
      </c>
      <c r="R53" s="19"/>
      <c r="S53" s="19">
        <f t="shared" si="18"/>
        <v>-962949</v>
      </c>
      <c r="T53" s="43"/>
      <c r="U53" s="19">
        <f t="shared" si="19"/>
        <v>-962949</v>
      </c>
    </row>
    <row r="54" spans="2:21" x14ac:dyDescent="0.25">
      <c r="B54" s="9"/>
      <c r="C54" s="10" t="s">
        <v>317</v>
      </c>
      <c r="D54" s="11"/>
      <c r="E54" s="19"/>
      <c r="F54" s="19">
        <v>-11702814</v>
      </c>
      <c r="G54" s="19">
        <f t="shared" si="16"/>
        <v>-11702814</v>
      </c>
      <c r="H54" s="36"/>
      <c r="I54" s="19">
        <f>+'Hoja de trabajo'!B43</f>
        <v>-17331131</v>
      </c>
      <c r="K54" s="36">
        <v>-10976052</v>
      </c>
      <c r="L54" s="19">
        <v>-6427483</v>
      </c>
      <c r="M54" s="19">
        <f t="shared" si="17"/>
        <v>-17403535</v>
      </c>
      <c r="N54" s="36">
        <f>+AD!J23</f>
        <v>5827272</v>
      </c>
      <c r="O54" s="19">
        <f>+M54+N54</f>
        <v>-11576263</v>
      </c>
      <c r="Q54" s="19">
        <v>-13974701</v>
      </c>
      <c r="R54" s="19">
        <v>-7233185</v>
      </c>
      <c r="S54" s="19">
        <f t="shared" si="18"/>
        <v>-21207886</v>
      </c>
      <c r="T54" s="36">
        <f>+AD!L23</f>
        <v>7144181</v>
      </c>
      <c r="U54" s="19">
        <f t="shared" si="19"/>
        <v>-14063705</v>
      </c>
    </row>
    <row r="55" spans="2:21" hidden="1" x14ac:dyDescent="0.25">
      <c r="B55" s="9"/>
      <c r="C55" s="10" t="s">
        <v>117</v>
      </c>
      <c r="D55" s="11"/>
      <c r="E55" s="19"/>
      <c r="F55" s="19"/>
      <c r="G55" s="19">
        <f t="shared" si="16"/>
        <v>0</v>
      </c>
      <c r="H55" s="43"/>
      <c r="I55" s="19">
        <f t="shared" ref="I55:I56" si="20">+G55+H55</f>
        <v>0</v>
      </c>
      <c r="K55" s="36"/>
      <c r="L55" s="19"/>
      <c r="M55" s="19">
        <f t="shared" si="17"/>
        <v>0</v>
      </c>
      <c r="N55" s="43"/>
      <c r="O55" s="19">
        <f>+M55+N55</f>
        <v>0</v>
      </c>
      <c r="Q55" s="19">
        <v>0</v>
      </c>
      <c r="R55" s="19"/>
      <c r="S55" s="19">
        <f t="shared" si="18"/>
        <v>0</v>
      </c>
      <c r="T55" s="43"/>
      <c r="U55" s="19">
        <f t="shared" si="19"/>
        <v>0</v>
      </c>
    </row>
    <row r="56" spans="2:21" hidden="1" x14ac:dyDescent="0.25">
      <c r="B56" s="9"/>
      <c r="C56" s="159" t="s">
        <v>118</v>
      </c>
      <c r="D56" s="11"/>
      <c r="E56" s="19"/>
      <c r="F56" s="19"/>
      <c r="G56" s="19"/>
      <c r="H56" s="43"/>
      <c r="I56" s="19">
        <f t="shared" si="20"/>
        <v>0</v>
      </c>
      <c r="K56" s="36"/>
      <c r="L56" s="19"/>
      <c r="M56" s="19"/>
      <c r="N56" s="43"/>
      <c r="O56" s="19">
        <f>+M56+N56</f>
        <v>0</v>
      </c>
      <c r="Q56" s="19"/>
      <c r="R56" s="19"/>
      <c r="S56" s="19"/>
      <c r="T56" s="43"/>
      <c r="U56" s="19">
        <f t="shared" si="19"/>
        <v>0</v>
      </c>
    </row>
    <row r="57" spans="2:21" x14ac:dyDescent="0.25">
      <c r="B57" s="9"/>
      <c r="C57" s="10" t="s">
        <v>318</v>
      </c>
      <c r="D57" s="11"/>
      <c r="E57" s="25"/>
      <c r="F57" s="25">
        <v>-231006</v>
      </c>
      <c r="G57" s="19">
        <f t="shared" ref="G57" si="21">+E57+F57</f>
        <v>-231006</v>
      </c>
      <c r="H57" s="43"/>
      <c r="I57" s="19">
        <f>+'Hoja de trabajo'!B59</f>
        <v>-2961541.5700000003</v>
      </c>
      <c r="K57" s="49">
        <v>-4862718</v>
      </c>
      <c r="L57" s="25">
        <v>-15600</v>
      </c>
      <c r="M57" s="19">
        <f t="shared" si="17"/>
        <v>-4878318</v>
      </c>
      <c r="N57" s="43"/>
      <c r="O57" s="19">
        <f>+M57+N57</f>
        <v>-4878318</v>
      </c>
      <c r="Q57" s="25">
        <v>-1204028</v>
      </c>
      <c r="R57" s="25">
        <v>-261435</v>
      </c>
      <c r="S57" s="19">
        <f t="shared" ref="S57" si="22">+Q57+R57</f>
        <v>-1465463</v>
      </c>
      <c r="T57" s="43"/>
      <c r="U57" s="19">
        <f t="shared" si="19"/>
        <v>-1465463</v>
      </c>
    </row>
    <row r="58" spans="2:21" x14ac:dyDescent="0.25">
      <c r="B58" s="161" t="s">
        <v>119</v>
      </c>
      <c r="C58" s="75"/>
      <c r="D58" s="76"/>
      <c r="E58" s="20">
        <f>E49+E50+E52+E53+E54+E55+E57</f>
        <v>0</v>
      </c>
      <c r="F58" s="20">
        <f>SUM(F49:F57)</f>
        <v>-11728238</v>
      </c>
      <c r="G58" s="20">
        <f>SUM(G49:G57)</f>
        <v>-11728238</v>
      </c>
      <c r="H58" s="44">
        <f>SUM(H49:H57)</f>
        <v>0</v>
      </c>
      <c r="I58" s="20">
        <f>SUM(I49:I57)</f>
        <v>-21496723.25</v>
      </c>
      <c r="K58" s="44">
        <f>K49+K50+K52+K53+K54+K55+K57</f>
        <v>-13578979</v>
      </c>
      <c r="L58" s="20">
        <f>SUM(L49:L57)</f>
        <v>-6648665</v>
      </c>
      <c r="M58" s="20">
        <f>SUM(M49:M57)</f>
        <v>-20227644</v>
      </c>
      <c r="N58" s="44">
        <f>SUM(N49:N57)</f>
        <v>5827272</v>
      </c>
      <c r="O58" s="20">
        <f>SUM(O49:O57)</f>
        <v>-14400372</v>
      </c>
      <c r="Q58" s="20">
        <f>Q49+Q50+Q52+Q53+Q54+Q55+Q57</f>
        <v>-10907372</v>
      </c>
      <c r="R58" s="20">
        <f>SUM(R49:R57)</f>
        <v>-7494620</v>
      </c>
      <c r="S58" s="20">
        <f>SUM(S49:S57)</f>
        <v>-18401992</v>
      </c>
      <c r="T58" s="44">
        <f>SUM(T49:T57)</f>
        <v>7144181</v>
      </c>
      <c r="U58" s="20">
        <f>SUM(U49:U57)</f>
        <v>-11257811</v>
      </c>
    </row>
    <row r="59" spans="2:21" x14ac:dyDescent="0.25">
      <c r="B59" s="6"/>
      <c r="C59" s="7"/>
      <c r="D59" s="8"/>
      <c r="E59" s="19"/>
      <c r="F59" s="19"/>
      <c r="G59" s="15"/>
      <c r="H59" s="43"/>
      <c r="I59" s="15"/>
      <c r="K59" s="36"/>
      <c r="L59" s="19"/>
      <c r="M59" s="15"/>
      <c r="N59" s="43"/>
      <c r="O59" s="15"/>
      <c r="Q59" s="19"/>
      <c r="R59" s="19"/>
      <c r="S59" s="15"/>
      <c r="T59" s="43"/>
      <c r="U59" s="15"/>
    </row>
    <row r="60" spans="2:21" x14ac:dyDescent="0.25">
      <c r="B60" s="33" t="s">
        <v>120</v>
      </c>
      <c r="C60" s="10"/>
      <c r="D60" s="11"/>
      <c r="E60" s="19"/>
      <c r="F60" s="19"/>
      <c r="G60" s="15"/>
      <c r="H60" s="43"/>
      <c r="I60" s="15"/>
      <c r="K60" s="36"/>
      <c r="L60" s="36"/>
      <c r="M60" s="19">
        <f t="shared" ref="M60:M68" si="23">+K60+L60</f>
        <v>0</v>
      </c>
      <c r="N60" s="43"/>
      <c r="O60" s="15"/>
      <c r="Q60" s="19"/>
      <c r="R60" s="19"/>
      <c r="S60" s="15"/>
      <c r="T60" s="43"/>
      <c r="U60" s="15"/>
    </row>
    <row r="61" spans="2:21" hidden="1" x14ac:dyDescent="0.25">
      <c r="B61" s="9"/>
      <c r="C61" s="10" t="s">
        <v>121</v>
      </c>
      <c r="D61" s="11"/>
      <c r="E61" s="19">
        <v>0</v>
      </c>
      <c r="F61" s="19"/>
      <c r="G61" s="27">
        <f t="shared" ref="G61:G68" si="24">+E61+F61</f>
        <v>0</v>
      </c>
      <c r="H61" s="43"/>
      <c r="I61" s="19">
        <f t="shared" ref="I61:I68" si="25">+G61+H61</f>
        <v>0</v>
      </c>
      <c r="K61" s="36">
        <v>0</v>
      </c>
      <c r="L61" s="36"/>
      <c r="M61" s="19">
        <f t="shared" si="23"/>
        <v>0</v>
      </c>
      <c r="N61" s="43"/>
      <c r="O61" s="19">
        <f t="shared" ref="O61:O68" si="26">+M61+N61</f>
        <v>0</v>
      </c>
      <c r="Q61" s="19">
        <v>0</v>
      </c>
      <c r="R61" s="19"/>
      <c r="S61" s="27">
        <f t="shared" ref="S61:S68" si="27">+Q61+R61</f>
        <v>0</v>
      </c>
      <c r="T61" s="43"/>
      <c r="U61" s="19">
        <f t="shared" ref="U61:U68" si="28">+S61+T61</f>
        <v>0</v>
      </c>
    </row>
    <row r="62" spans="2:21" hidden="1" x14ac:dyDescent="0.25">
      <c r="B62" s="9"/>
      <c r="C62" s="10" t="s">
        <v>44</v>
      </c>
      <c r="D62" s="11"/>
      <c r="E62" s="19"/>
      <c r="F62" s="19"/>
      <c r="G62" s="19">
        <f t="shared" si="24"/>
        <v>0</v>
      </c>
      <c r="H62" s="43"/>
      <c r="I62" s="19">
        <f t="shared" si="25"/>
        <v>0</v>
      </c>
      <c r="K62" s="36"/>
      <c r="L62" s="36"/>
      <c r="M62" s="19">
        <f t="shared" si="23"/>
        <v>0</v>
      </c>
      <c r="N62" s="43"/>
      <c r="O62" s="19">
        <f t="shared" si="26"/>
        <v>0</v>
      </c>
      <c r="Q62" s="19"/>
      <c r="R62" s="19"/>
      <c r="S62" s="19">
        <f t="shared" si="27"/>
        <v>0</v>
      </c>
      <c r="T62" s="43"/>
      <c r="U62" s="19">
        <f t="shared" si="28"/>
        <v>0</v>
      </c>
    </row>
    <row r="63" spans="2:21" hidden="1" x14ac:dyDescent="0.25">
      <c r="B63" s="9"/>
      <c r="C63" s="10" t="s">
        <v>122</v>
      </c>
      <c r="D63" s="11"/>
      <c r="E63" s="19"/>
      <c r="F63" s="36"/>
      <c r="G63" s="19">
        <f t="shared" si="24"/>
        <v>0</v>
      </c>
      <c r="H63" s="43"/>
      <c r="I63" s="19">
        <f t="shared" si="25"/>
        <v>0</v>
      </c>
      <c r="K63" s="36"/>
      <c r="L63" s="36"/>
      <c r="M63" s="19">
        <f t="shared" si="23"/>
        <v>0</v>
      </c>
      <c r="N63" s="43"/>
      <c r="O63" s="19">
        <f t="shared" si="26"/>
        <v>0</v>
      </c>
      <c r="Q63" s="19"/>
      <c r="R63" s="36"/>
      <c r="S63" s="19">
        <f t="shared" si="27"/>
        <v>0</v>
      </c>
      <c r="T63" s="43"/>
      <c r="U63" s="19">
        <f t="shared" si="28"/>
        <v>0</v>
      </c>
    </row>
    <row r="64" spans="2:21" x14ac:dyDescent="0.25">
      <c r="B64" s="9"/>
      <c r="C64" s="10" t="s">
        <v>326</v>
      </c>
      <c r="D64" s="11"/>
      <c r="E64" s="19"/>
      <c r="F64" s="36">
        <v>-1606362</v>
      </c>
      <c r="G64" s="19">
        <f t="shared" si="24"/>
        <v>-1606362</v>
      </c>
      <c r="H64" s="43"/>
      <c r="I64" s="19">
        <f>+'Hoja de trabajo'!L6+'Hoja de trabajo'!L18</f>
        <v>-12414999</v>
      </c>
      <c r="K64" s="36">
        <v>-7240853</v>
      </c>
      <c r="L64" s="36">
        <v>873161</v>
      </c>
      <c r="M64" s="19">
        <f t="shared" si="23"/>
        <v>-6367692</v>
      </c>
      <c r="N64" s="43"/>
      <c r="O64" s="19">
        <f t="shared" si="26"/>
        <v>-6367692</v>
      </c>
      <c r="Q64" s="19">
        <v>-4709384</v>
      </c>
      <c r="R64" s="36">
        <v>-3372028</v>
      </c>
      <c r="S64" s="19">
        <f t="shared" si="27"/>
        <v>-8081412</v>
      </c>
      <c r="T64" s="43"/>
      <c r="U64" s="19">
        <f t="shared" si="28"/>
        <v>-8081412</v>
      </c>
    </row>
    <row r="65" spans="1:21" hidden="1" x14ac:dyDescent="0.25">
      <c r="B65" s="9"/>
      <c r="C65" s="38" t="s">
        <v>331</v>
      </c>
      <c r="D65" s="11"/>
      <c r="E65" s="19"/>
      <c r="F65" s="36">
        <v>-715413</v>
      </c>
      <c r="G65" s="19">
        <f t="shared" si="24"/>
        <v>-715413</v>
      </c>
      <c r="H65" s="43"/>
      <c r="I65" s="19">
        <f>+'Hoja de trabajo'!B92</f>
        <v>0</v>
      </c>
      <c r="K65" s="36"/>
      <c r="L65" s="36"/>
      <c r="M65" s="19"/>
      <c r="N65" s="43"/>
      <c r="O65" s="19"/>
      <c r="Q65" s="19"/>
      <c r="R65" s="36"/>
      <c r="S65" s="19"/>
      <c r="T65" s="43"/>
      <c r="U65" s="19"/>
    </row>
    <row r="66" spans="1:21" x14ac:dyDescent="0.25">
      <c r="B66" s="9"/>
      <c r="C66" s="38" t="s">
        <v>330</v>
      </c>
      <c r="D66" s="11"/>
      <c r="E66" s="19">
        <v>-5488035</v>
      </c>
      <c r="F66" s="36">
        <v>-3373023</v>
      </c>
      <c r="G66" s="19">
        <f t="shared" si="24"/>
        <v>-8861058</v>
      </c>
      <c r="H66" s="43"/>
      <c r="I66" s="19">
        <f t="shared" si="25"/>
        <v>-8861058</v>
      </c>
      <c r="K66" s="36"/>
      <c r="L66" s="36"/>
      <c r="M66" s="19"/>
      <c r="N66" s="43"/>
      <c r="O66" s="19"/>
      <c r="Q66" s="19"/>
      <c r="R66" s="36"/>
      <c r="S66" s="19"/>
      <c r="T66" s="43"/>
      <c r="U66" s="19"/>
    </row>
    <row r="67" spans="1:21" x14ac:dyDescent="0.25">
      <c r="B67" s="9"/>
      <c r="C67" s="10" t="s">
        <v>269</v>
      </c>
      <c r="D67" s="11"/>
      <c r="E67" s="19"/>
      <c r="F67" s="36"/>
      <c r="G67" s="19">
        <f t="shared" si="24"/>
        <v>0</v>
      </c>
      <c r="H67" s="43"/>
      <c r="I67" s="19">
        <f>+'Hoja de trabajo'!L7+'Hoja de trabajo'!L19</f>
        <v>-8550313</v>
      </c>
      <c r="K67" s="36">
        <v>-7134782</v>
      </c>
      <c r="L67" s="36"/>
      <c r="M67" s="19">
        <f t="shared" si="23"/>
        <v>-7134782</v>
      </c>
      <c r="N67" s="43"/>
      <c r="O67" s="19">
        <f t="shared" si="26"/>
        <v>-7134782</v>
      </c>
      <c r="Q67" s="19">
        <v>-8370991</v>
      </c>
      <c r="R67" s="36">
        <v>0</v>
      </c>
      <c r="S67" s="19">
        <f t="shared" si="27"/>
        <v>-8370991</v>
      </c>
      <c r="T67" s="43"/>
      <c r="U67" s="19">
        <f t="shared" si="28"/>
        <v>-8370991</v>
      </c>
    </row>
    <row r="68" spans="1:21" hidden="1" x14ac:dyDescent="0.25">
      <c r="B68" s="9"/>
      <c r="C68" s="10" t="s">
        <v>123</v>
      </c>
      <c r="D68" s="11"/>
      <c r="E68" s="19"/>
      <c r="F68" s="19"/>
      <c r="G68" s="19">
        <f t="shared" si="24"/>
        <v>0</v>
      </c>
      <c r="H68" s="43"/>
      <c r="I68" s="19">
        <f t="shared" si="25"/>
        <v>0</v>
      </c>
      <c r="K68" s="36"/>
      <c r="L68" s="60"/>
      <c r="M68" s="19">
        <f t="shared" si="23"/>
        <v>0</v>
      </c>
      <c r="N68" s="43"/>
      <c r="O68" s="19">
        <f t="shared" si="26"/>
        <v>0</v>
      </c>
      <c r="Q68" s="19"/>
      <c r="R68" s="19"/>
      <c r="S68" s="19">
        <f t="shared" si="27"/>
        <v>0</v>
      </c>
      <c r="T68" s="43"/>
      <c r="U68" s="19">
        <f t="shared" si="28"/>
        <v>0</v>
      </c>
    </row>
    <row r="69" spans="1:21" x14ac:dyDescent="0.25">
      <c r="B69" s="160" t="s">
        <v>124</v>
      </c>
      <c r="C69" s="75"/>
      <c r="D69" s="76"/>
      <c r="E69" s="20">
        <f>SUM(E61:E68)</f>
        <v>-5488035</v>
      </c>
      <c r="F69" s="20">
        <f>SUM(F61:F68)</f>
        <v>-5694798</v>
      </c>
      <c r="G69" s="20">
        <f>SUM(G61:G68)</f>
        <v>-11182833</v>
      </c>
      <c r="H69" s="44">
        <f>SUM(H61:H68)</f>
        <v>0</v>
      </c>
      <c r="I69" s="20">
        <f>SUM(I61:I68)</f>
        <v>-29826370</v>
      </c>
      <c r="K69" s="44">
        <f>SUM(K61:K68)</f>
        <v>-14375635</v>
      </c>
      <c r="L69" s="20">
        <f>SUM(L61:L68)</f>
        <v>873161</v>
      </c>
      <c r="M69" s="20">
        <f>SUM(M61:M68)</f>
        <v>-13502474</v>
      </c>
      <c r="N69" s="44">
        <f>SUM(N61:N68)</f>
        <v>0</v>
      </c>
      <c r="O69" s="20">
        <f>SUM(O61:O68)</f>
        <v>-13502474</v>
      </c>
      <c r="Q69" s="20">
        <f>SUM(Q61:Q68)</f>
        <v>-13080375</v>
      </c>
      <c r="R69" s="20">
        <f>SUM(R61:R68)</f>
        <v>-3372028</v>
      </c>
      <c r="S69" s="20">
        <f>SUM(S61:S68)</f>
        <v>-16452403</v>
      </c>
      <c r="T69" s="44">
        <f>SUM(T61:T68)</f>
        <v>0</v>
      </c>
      <c r="U69" s="20">
        <f>SUM(U61:U68)</f>
        <v>-16452403</v>
      </c>
    </row>
    <row r="70" spans="1:21" x14ac:dyDescent="0.25">
      <c r="B70" s="106" t="s">
        <v>139</v>
      </c>
      <c r="C70" s="75"/>
      <c r="D70" s="76"/>
      <c r="E70" s="34">
        <f>+E69+E58+E46</f>
        <v>43053177</v>
      </c>
      <c r="F70" s="34">
        <f>+F69+F58+F46</f>
        <v>2599281</v>
      </c>
      <c r="G70" s="31">
        <f>+G69+G58+G46</f>
        <v>45652458</v>
      </c>
      <c r="H70" s="82">
        <f>+H69+H58+H46</f>
        <v>2120374</v>
      </c>
      <c r="I70" s="31">
        <f>+I69+I58+I46</f>
        <v>3434596.0900000036</v>
      </c>
      <c r="K70" s="156">
        <f>+K69+K58+K46</f>
        <v>-4560108.5500000119</v>
      </c>
      <c r="L70" s="34">
        <f>+L69+L58+L46</f>
        <v>6782259</v>
      </c>
      <c r="M70" s="31">
        <f>+M69+M58+M46</f>
        <v>2222150.4499999881</v>
      </c>
      <c r="N70" s="323">
        <f>+N69+N58+N46</f>
        <v>-0.5</v>
      </c>
      <c r="O70" s="31">
        <f>+O69+O58+O46</f>
        <v>2222149.9499999881</v>
      </c>
      <c r="Q70" s="34">
        <f>+Q69+Q58+Q46</f>
        <v>-9179235</v>
      </c>
      <c r="R70" s="34">
        <f>+R69+R58+R46</f>
        <v>-188600</v>
      </c>
      <c r="S70" s="31">
        <f>+S69+S58+S46</f>
        <v>-9844303</v>
      </c>
      <c r="T70" s="82">
        <f>+T69+T58+T46</f>
        <v>-12940</v>
      </c>
      <c r="U70" s="31">
        <f>+U69+U58+U46</f>
        <v>-9857243</v>
      </c>
    </row>
    <row r="71" spans="1:21" x14ac:dyDescent="0.25">
      <c r="A71" s="10"/>
      <c r="K71" s="39"/>
      <c r="L71" s="4"/>
      <c r="M71" s="35">
        <f>+L70+K70-M70</f>
        <v>0</v>
      </c>
      <c r="N71" s="37"/>
    </row>
    <row r="72" spans="1:21" x14ac:dyDescent="0.25">
      <c r="A72" s="9"/>
      <c r="B72" s="6" t="s">
        <v>125</v>
      </c>
      <c r="C72" s="7"/>
      <c r="D72" s="7"/>
      <c r="E72" s="22">
        <f>+E70</f>
        <v>43053177</v>
      </c>
      <c r="F72" s="22">
        <v>-188600</v>
      </c>
      <c r="G72" s="22">
        <f t="shared" ref="G72:G73" si="29">+E72+F72</f>
        <v>42864577</v>
      </c>
      <c r="H72" s="69"/>
      <c r="I72" s="30">
        <f>+I70</f>
        <v>3434596.0900000036</v>
      </c>
      <c r="K72" s="45">
        <f>+K70</f>
        <v>-4560108.5500000119</v>
      </c>
      <c r="L72" s="22">
        <f>+L70</f>
        <v>6782259</v>
      </c>
      <c r="M72" s="22">
        <f t="shared" ref="M72:M73" si="30">+K72+L72</f>
        <v>2222150.4499999881</v>
      </c>
      <c r="N72" s="69"/>
      <c r="O72" s="30">
        <f>+M72+N72</f>
        <v>2222150.4499999881</v>
      </c>
      <c r="P72" s="7"/>
      <c r="Q72" s="22">
        <f>+Q70</f>
        <v>-9179235</v>
      </c>
      <c r="R72" s="22">
        <v>-188600</v>
      </c>
      <c r="S72" s="22">
        <f t="shared" ref="S72:S73" si="31">+Q72+R72</f>
        <v>-9367835</v>
      </c>
      <c r="T72" s="69"/>
      <c r="U72" s="30">
        <f>+S72+T72</f>
        <v>-9367835</v>
      </c>
    </row>
    <row r="73" spans="1:21" x14ac:dyDescent="0.25">
      <c r="A73" s="9"/>
      <c r="B73" s="9" t="s">
        <v>126</v>
      </c>
      <c r="C73" s="10"/>
      <c r="D73" s="10"/>
      <c r="E73" s="19">
        <f>+K74</f>
        <v>-3213378.5500000119</v>
      </c>
      <c r="F73" s="19">
        <f>+L74</f>
        <v>7367583</v>
      </c>
      <c r="G73" s="19">
        <f t="shared" si="29"/>
        <v>4154204.4499999881</v>
      </c>
      <c r="H73" s="43"/>
      <c r="I73" s="27">
        <f>+'Hoja de trabajo'!D5-'Hoja de trabajo'!M5</f>
        <v>4154204</v>
      </c>
      <c r="K73" s="36">
        <v>1346730</v>
      </c>
      <c r="L73" s="19">
        <v>585324</v>
      </c>
      <c r="M73" s="19">
        <f t="shared" si="30"/>
        <v>1932054</v>
      </c>
      <c r="N73" s="43"/>
      <c r="O73" s="27">
        <f>+M73</f>
        <v>1932054</v>
      </c>
      <c r="P73" s="10"/>
      <c r="Q73" s="19">
        <v>10525965</v>
      </c>
      <c r="R73" s="19">
        <v>773924</v>
      </c>
      <c r="S73" s="19">
        <f t="shared" si="31"/>
        <v>11299889</v>
      </c>
      <c r="T73" s="43"/>
      <c r="U73" s="27">
        <f>+S73</f>
        <v>11299889</v>
      </c>
    </row>
    <row r="74" spans="1:21" x14ac:dyDescent="0.25">
      <c r="A74" s="9"/>
      <c r="B74" s="21" t="s">
        <v>127</v>
      </c>
      <c r="C74" s="12"/>
      <c r="D74" s="12"/>
      <c r="E74" s="20">
        <f>E72+E73</f>
        <v>39839798.449999988</v>
      </c>
      <c r="F74" s="20">
        <f>F72+F73</f>
        <v>7178983</v>
      </c>
      <c r="G74" s="20">
        <f>+G72+G73</f>
        <v>47018781.449999988</v>
      </c>
      <c r="H74" s="44">
        <f>+H72+H73</f>
        <v>0</v>
      </c>
      <c r="I74" s="20">
        <f>+I72+I73</f>
        <v>7588800.0900000036</v>
      </c>
      <c r="K74" s="44">
        <f>K72+K73</f>
        <v>-3213378.5500000119</v>
      </c>
      <c r="L74" s="20">
        <f>L72+L73</f>
        <v>7367583</v>
      </c>
      <c r="M74" s="20">
        <f>+M72+M73</f>
        <v>4154204.4499999881</v>
      </c>
      <c r="N74" s="44">
        <f>+N72+N73</f>
        <v>0</v>
      </c>
      <c r="O74" s="20">
        <f>+O72+O73</f>
        <v>4154204.4499999881</v>
      </c>
      <c r="P74" s="12"/>
      <c r="Q74" s="20">
        <f>Q72+Q73</f>
        <v>1346730</v>
      </c>
      <c r="R74" s="20">
        <f>R72+R73</f>
        <v>585324</v>
      </c>
      <c r="S74" s="20">
        <f>+S72+S73</f>
        <v>1932054</v>
      </c>
      <c r="T74" s="44">
        <f>+T72+T73</f>
        <v>0</v>
      </c>
      <c r="U74" s="20">
        <f>+U72+U73</f>
        <v>1932054</v>
      </c>
    </row>
    <row r="75" spans="1:21" x14ac:dyDescent="0.25">
      <c r="A75" s="10"/>
      <c r="I75" s="321">
        <f>+'Hoja de trabajo'!B5-'Hoja de trabajo'!K5-I74</f>
        <v>-9.0000003576278687E-2</v>
      </c>
      <c r="K75" s="39"/>
      <c r="L75" s="4"/>
      <c r="N75" s="37"/>
    </row>
    <row r="76" spans="1:21" x14ac:dyDescent="0.25">
      <c r="I76" s="35"/>
      <c r="K76" s="39"/>
      <c r="L76" s="4"/>
      <c r="N76" s="37"/>
    </row>
    <row r="77" spans="1:21" x14ac:dyDescent="0.25">
      <c r="E77" s="57"/>
      <c r="F77" s="57"/>
      <c r="G77" s="57"/>
      <c r="H77" s="57"/>
      <c r="I77" s="57"/>
      <c r="K77" s="39"/>
      <c r="L77" s="4"/>
      <c r="N77" s="37"/>
      <c r="Q77" s="57"/>
      <c r="R77" s="57"/>
      <c r="S77" s="57"/>
      <c r="T77" s="57"/>
      <c r="U77" s="57"/>
    </row>
    <row r="78" spans="1:21" x14ac:dyDescent="0.25">
      <c r="E78" s="57"/>
      <c r="F78" s="10"/>
      <c r="G78" s="10"/>
      <c r="I78" s="35"/>
      <c r="K78" s="157" t="s">
        <v>250</v>
      </c>
      <c r="L78" s="7"/>
      <c r="M78" s="7"/>
      <c r="N78" s="37"/>
      <c r="Q78" s="57"/>
      <c r="R78" s="10"/>
      <c r="S78" s="10"/>
    </row>
    <row r="79" spans="1:21" x14ac:dyDescent="0.25">
      <c r="E79" s="57"/>
      <c r="F79" s="10"/>
      <c r="G79" s="10"/>
      <c r="K79" s="39" t="s">
        <v>251</v>
      </c>
      <c r="N79" s="37"/>
      <c r="Q79" s="57"/>
      <c r="R79" s="10"/>
      <c r="S79" s="10"/>
    </row>
  </sheetData>
  <mergeCells count="4">
    <mergeCell ref="C14:D14"/>
    <mergeCell ref="B9:D9"/>
    <mergeCell ref="C49:D49"/>
    <mergeCell ref="C52:D52"/>
  </mergeCells>
  <pageMargins left="0.7" right="0.7" top="0.75" bottom="0.75" header="0.3" footer="0.3"/>
  <pageSetup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266E2-BDA3-45F0-BAB7-EF722390FDDC}">
  <dimension ref="A1:Y114"/>
  <sheetViews>
    <sheetView topLeftCell="A9" workbookViewId="0">
      <selection activeCell="D9" sqref="D9"/>
    </sheetView>
  </sheetViews>
  <sheetFormatPr defaultColWidth="11.42578125" defaultRowHeight="15" x14ac:dyDescent="0.25"/>
  <cols>
    <col min="1" max="1" width="38.85546875" style="181" bestFit="1" customWidth="1"/>
    <col min="2" max="2" width="12" style="284" bestFit="1" customWidth="1"/>
    <col min="3" max="3" width="11.5703125" style="181" bestFit="1" customWidth="1"/>
    <col min="4" max="4" width="11.7109375" style="181" bestFit="1" customWidth="1"/>
    <col min="5" max="5" width="11.5703125" style="228" hidden="1" customWidth="1"/>
    <col min="6" max="6" width="11.7109375" style="181" hidden="1" customWidth="1"/>
    <col min="7" max="7" width="11" style="228" hidden="1" customWidth="1"/>
    <col min="8" max="8" width="11.7109375" style="181" hidden="1" customWidth="1"/>
    <col min="9" max="9" width="1.7109375" style="181" customWidth="1"/>
    <col min="10" max="10" width="41.5703125" style="181" bestFit="1" customWidth="1"/>
    <col min="11" max="11" width="12" style="284" bestFit="1" customWidth="1"/>
    <col min="12" max="12" width="11.7109375" style="181" customWidth="1"/>
    <col min="13" max="13" width="11.7109375" style="181" bestFit="1" customWidth="1"/>
    <col min="14" max="14" width="10.5703125" style="228" hidden="1" customWidth="1"/>
    <col min="15" max="15" width="11.7109375" style="181" hidden="1" customWidth="1"/>
    <col min="16" max="16" width="10.5703125" style="228" hidden="1" customWidth="1"/>
    <col min="17" max="17" width="12" style="181" hidden="1" customWidth="1"/>
    <col min="18" max="18" width="11.5703125" style="185" hidden="1" customWidth="1"/>
    <col min="19" max="19" width="11.42578125" style="181"/>
    <col min="20" max="20" width="13.28515625" style="181" bestFit="1" customWidth="1"/>
    <col min="21" max="16384" width="11.42578125" style="181"/>
  </cols>
  <sheetData>
    <row r="1" spans="1:21" ht="9" customHeight="1" x14ac:dyDescent="0.2">
      <c r="A1" s="180"/>
      <c r="B1" s="181"/>
      <c r="C1" s="180"/>
      <c r="D1" s="180"/>
      <c r="E1" s="182"/>
      <c r="F1" s="183"/>
      <c r="G1" s="182"/>
      <c r="H1" s="180"/>
      <c r="I1" s="183"/>
      <c r="J1" s="180"/>
      <c r="K1" s="181"/>
      <c r="L1" s="180"/>
      <c r="M1" s="180"/>
      <c r="N1" s="182"/>
      <c r="O1" s="183"/>
      <c r="P1" s="182"/>
      <c r="Q1" s="184"/>
    </row>
    <row r="2" spans="1:21" ht="12" customHeight="1" x14ac:dyDescent="0.2">
      <c r="A2" s="183" t="s">
        <v>367</v>
      </c>
      <c r="B2" s="186">
        <v>2019</v>
      </c>
      <c r="C2" s="187"/>
      <c r="D2" s="187">
        <v>2018</v>
      </c>
      <c r="E2" s="188"/>
      <c r="F2" s="187">
        <v>2017</v>
      </c>
      <c r="G2" s="189"/>
      <c r="H2" s="183">
        <v>2016</v>
      </c>
      <c r="I2" s="190"/>
      <c r="J2" s="183" t="s">
        <v>368</v>
      </c>
      <c r="K2" s="191">
        <v>2019</v>
      </c>
      <c r="L2" s="187"/>
      <c r="M2" s="187">
        <v>2018</v>
      </c>
      <c r="N2" s="188"/>
      <c r="O2" s="187">
        <v>2017</v>
      </c>
      <c r="P2" s="189"/>
      <c r="Q2" s="190">
        <v>2016</v>
      </c>
      <c r="S2" s="192"/>
      <c r="T2" s="193"/>
      <c r="U2" s="193"/>
    </row>
    <row r="3" spans="1:21" ht="12" customHeight="1" x14ac:dyDescent="0.2">
      <c r="A3" s="180"/>
      <c r="B3" s="194"/>
      <c r="C3" s="195"/>
      <c r="D3" s="195"/>
      <c r="E3" s="196"/>
      <c r="F3" s="197"/>
      <c r="G3" s="182"/>
      <c r="H3" s="180"/>
      <c r="I3" s="183"/>
      <c r="J3" s="180"/>
      <c r="K3" s="194"/>
      <c r="L3" s="198"/>
      <c r="M3" s="195"/>
      <c r="N3" s="196"/>
      <c r="O3" s="195"/>
      <c r="P3" s="182"/>
      <c r="Q3" s="180"/>
    </row>
    <row r="4" spans="1:21" ht="12" customHeight="1" x14ac:dyDescent="0.2">
      <c r="A4" s="199" t="s">
        <v>369</v>
      </c>
      <c r="B4" s="194"/>
      <c r="C4" s="200"/>
      <c r="D4" s="200"/>
      <c r="E4" s="196"/>
      <c r="F4" s="197"/>
      <c r="G4" s="182"/>
      <c r="H4" s="199"/>
      <c r="I4" s="183"/>
      <c r="J4" s="201" t="s">
        <v>370</v>
      </c>
      <c r="K4" s="194"/>
      <c r="L4" s="202"/>
      <c r="M4" s="203"/>
      <c r="N4" s="196"/>
      <c r="O4" s="204"/>
      <c r="P4" s="182"/>
      <c r="Q4" s="205"/>
    </row>
    <row r="5" spans="1:21" ht="12" customHeight="1" x14ac:dyDescent="0.2">
      <c r="A5" s="206" t="s">
        <v>371</v>
      </c>
      <c r="B5" s="207">
        <f>+'BG '!I8</f>
        <v>7639576</v>
      </c>
      <c r="C5" s="208">
        <f t="shared" ref="C5:E13" si="0">+D5-B5</f>
        <v>307554</v>
      </c>
      <c r="D5" s="207">
        <f>+'BG '!O8</f>
        <v>7947130</v>
      </c>
      <c r="E5" s="208">
        <f t="shared" si="0"/>
        <v>-6204568</v>
      </c>
      <c r="F5" s="210">
        <f>'[1]Planilla Final 2017'!R5</f>
        <v>1742562</v>
      </c>
      <c r="G5" s="211">
        <f t="shared" ref="G5:G13" si="1">F5-H5</f>
        <v>-9053595</v>
      </c>
      <c r="H5" s="212">
        <v>10796157</v>
      </c>
      <c r="I5" s="183"/>
      <c r="J5" s="206" t="s">
        <v>372</v>
      </c>
      <c r="K5" s="207">
        <f>+'BG '!I38</f>
        <v>50776</v>
      </c>
      <c r="L5" s="208">
        <f t="shared" ref="L5:N13" si="2">+K5-M5</f>
        <v>-3742150</v>
      </c>
      <c r="M5" s="207">
        <f>+'BG '!O38</f>
        <v>3792926</v>
      </c>
      <c r="N5" s="208">
        <f t="shared" si="2"/>
        <v>3532524</v>
      </c>
      <c r="O5" s="213">
        <f>'[1]Planilla Final 2017'!R24</f>
        <v>260402</v>
      </c>
      <c r="P5" s="211">
        <f t="shared" ref="P5:P12" si="3">+O5-Q5</f>
        <v>61512</v>
      </c>
      <c r="Q5" s="214">
        <v>198890</v>
      </c>
      <c r="R5" s="215">
        <f>+D5-M5</f>
        <v>4154204</v>
      </c>
      <c r="S5" s="216"/>
      <c r="T5" s="217"/>
      <c r="U5" s="217"/>
    </row>
    <row r="6" spans="1:21" ht="12" customHeight="1" x14ac:dyDescent="0.2">
      <c r="A6" s="206" t="s">
        <v>373</v>
      </c>
      <c r="B6" s="207">
        <f>+'BG '!I9</f>
        <v>11919</v>
      </c>
      <c r="C6" s="208">
        <f t="shared" si="0"/>
        <v>266474</v>
      </c>
      <c r="D6" s="207">
        <f>+'BG '!O9</f>
        <v>278393</v>
      </c>
      <c r="E6" s="208">
        <f t="shared" si="0"/>
        <v>-175773</v>
      </c>
      <c r="F6" s="210">
        <f>'[1]Planilla Final 2017'!R7</f>
        <v>102620</v>
      </c>
      <c r="G6" s="211">
        <f t="shared" si="1"/>
        <v>-5828169</v>
      </c>
      <c r="H6" s="212">
        <v>5930789</v>
      </c>
      <c r="I6" s="180"/>
      <c r="J6" s="206" t="s">
        <v>374</v>
      </c>
      <c r="K6" s="207">
        <f>+'BG '!I39</f>
        <v>5108372</v>
      </c>
      <c r="L6" s="208">
        <f t="shared" si="2"/>
        <v>-7967359</v>
      </c>
      <c r="M6" s="207">
        <f>+'BG '!O39</f>
        <v>13075731</v>
      </c>
      <c r="N6" s="208">
        <f t="shared" si="2"/>
        <v>-337944</v>
      </c>
      <c r="O6" s="218">
        <f>'[1]Planilla Final 2017'!R25</f>
        <v>13413675</v>
      </c>
      <c r="P6" s="211">
        <f t="shared" si="3"/>
        <v>-4986126</v>
      </c>
      <c r="Q6" s="205">
        <f>31524342-198890-12925651</f>
        <v>18399801</v>
      </c>
      <c r="S6" s="219"/>
      <c r="T6" s="217"/>
      <c r="U6" s="217"/>
    </row>
    <row r="7" spans="1:21" ht="12" customHeight="1" x14ac:dyDescent="0.2">
      <c r="A7" s="206" t="s">
        <v>5</v>
      </c>
      <c r="B7" s="207">
        <f>+'BG '!I10</f>
        <v>3358789</v>
      </c>
      <c r="C7" s="208">
        <f t="shared" si="0"/>
        <v>-965344.68000000017</v>
      </c>
      <c r="D7" s="207">
        <f>+'BG '!O10</f>
        <v>2393444.3199999998</v>
      </c>
      <c r="E7" s="208">
        <f t="shared" si="0"/>
        <v>251010.68000000017</v>
      </c>
      <c r="F7" s="210">
        <f>'[1]Planilla Final 2017'!R6</f>
        <v>2644455</v>
      </c>
      <c r="G7" s="211">
        <f t="shared" si="1"/>
        <v>593863</v>
      </c>
      <c r="H7" s="212">
        <v>2050592</v>
      </c>
      <c r="I7" s="183"/>
      <c r="J7" s="206" t="s">
        <v>375</v>
      </c>
      <c r="K7" s="207">
        <f>+'BG '!I40</f>
        <v>2484731</v>
      </c>
      <c r="L7" s="208">
        <f t="shared" si="2"/>
        <v>-6103212</v>
      </c>
      <c r="M7" s="207">
        <f>+'BG '!O40</f>
        <v>8587943</v>
      </c>
      <c r="N7" s="208">
        <f t="shared" si="2"/>
        <v>-2871367</v>
      </c>
      <c r="O7" s="218">
        <f>'[1]Planilla Final 2017'!R26</f>
        <v>11459310</v>
      </c>
      <c r="P7" s="211">
        <f t="shared" si="3"/>
        <v>-1466341</v>
      </c>
      <c r="Q7" s="205">
        <v>12925651</v>
      </c>
      <c r="S7" s="219"/>
      <c r="T7" s="217"/>
      <c r="U7" s="217"/>
    </row>
    <row r="8" spans="1:21" ht="12" customHeight="1" x14ac:dyDescent="0.2">
      <c r="A8" s="206" t="s">
        <v>376</v>
      </c>
      <c r="B8" s="207">
        <f>+'BG '!I12</f>
        <v>12612946</v>
      </c>
      <c r="C8" s="208">
        <f t="shared" si="0"/>
        <v>-3794899</v>
      </c>
      <c r="D8" s="207">
        <f>+'BG '!O12</f>
        <v>8818047</v>
      </c>
      <c r="E8" s="208">
        <f t="shared" si="0"/>
        <v>6745357</v>
      </c>
      <c r="F8" s="210">
        <f>'[1]Planilla Final 2017'!R8</f>
        <v>15563404</v>
      </c>
      <c r="G8" s="211">
        <f t="shared" si="1"/>
        <v>1100909</v>
      </c>
      <c r="H8" s="212">
        <v>14462495</v>
      </c>
      <c r="I8" s="183"/>
      <c r="J8" s="206" t="s">
        <v>377</v>
      </c>
      <c r="K8" s="207">
        <f>+'BG '!I42</f>
        <v>23072146</v>
      </c>
      <c r="L8" s="208">
        <f t="shared" si="2"/>
        <v>6600142</v>
      </c>
      <c r="M8" s="207">
        <f>+'BG '!O42</f>
        <v>16472004</v>
      </c>
      <c r="N8" s="208">
        <f t="shared" si="2"/>
        <v>-3964041</v>
      </c>
      <c r="O8" s="218">
        <f>'[1]Planilla Final 2017'!R27</f>
        <v>20436045</v>
      </c>
      <c r="P8" s="211">
        <f t="shared" si="3"/>
        <v>1910661</v>
      </c>
      <c r="Q8" s="205">
        <v>18525384</v>
      </c>
      <c r="S8" s="219"/>
      <c r="T8" s="217"/>
      <c r="U8" s="217"/>
    </row>
    <row r="9" spans="1:21" ht="12" customHeight="1" x14ac:dyDescent="0.2">
      <c r="A9" s="206" t="s">
        <v>378</v>
      </c>
      <c r="B9" s="207">
        <f>+'BG '!I13</f>
        <v>26620104</v>
      </c>
      <c r="C9" s="208">
        <f t="shared" si="0"/>
        <v>6330086</v>
      </c>
      <c r="D9" s="207">
        <f>+'BG '!O13</f>
        <v>32950190</v>
      </c>
      <c r="E9" s="208">
        <f t="shared" si="0"/>
        <v>-7875193</v>
      </c>
      <c r="F9" s="210">
        <f>'[1]Planilla Final 2017'!R9</f>
        <v>25074997</v>
      </c>
      <c r="G9" s="211">
        <f t="shared" si="1"/>
        <v>11254398</v>
      </c>
      <c r="H9" s="212">
        <v>13820599</v>
      </c>
      <c r="I9" s="183"/>
      <c r="J9" s="206" t="s">
        <v>379</v>
      </c>
      <c r="K9" s="207">
        <f>+'BG '!I43</f>
        <v>4919474</v>
      </c>
      <c r="L9" s="208">
        <f t="shared" si="2"/>
        <v>2986000</v>
      </c>
      <c r="M9" s="207">
        <f>+'BG '!O43</f>
        <v>1933474</v>
      </c>
      <c r="N9" s="208">
        <f t="shared" si="2"/>
        <v>19845</v>
      </c>
      <c r="O9" s="218">
        <f>'[1]Planilla Final 2017'!R28</f>
        <v>1913629</v>
      </c>
      <c r="P9" s="211">
        <f t="shared" si="3"/>
        <v>1651239</v>
      </c>
      <c r="Q9" s="205">
        <v>262390</v>
      </c>
      <c r="T9" s="217"/>
      <c r="U9" s="217"/>
    </row>
    <row r="10" spans="1:21" ht="12" customHeight="1" x14ac:dyDescent="0.2">
      <c r="A10" s="206" t="s">
        <v>10</v>
      </c>
      <c r="B10" s="207">
        <f>+'BG '!I15</f>
        <v>1973842</v>
      </c>
      <c r="C10" s="208">
        <f t="shared" si="0"/>
        <v>1714619</v>
      </c>
      <c r="D10" s="207">
        <f>+'BG '!O15</f>
        <v>3688461</v>
      </c>
      <c r="E10" s="208">
        <f t="shared" si="0"/>
        <v>-2563682</v>
      </c>
      <c r="F10" s="210">
        <f>'[1]Planilla Final 2017'!R11</f>
        <v>1124779</v>
      </c>
      <c r="G10" s="211">
        <f t="shared" si="1"/>
        <v>-685042</v>
      </c>
      <c r="H10" s="212">
        <v>1809821</v>
      </c>
      <c r="I10" s="183"/>
      <c r="J10" s="206" t="s">
        <v>380</v>
      </c>
      <c r="K10" s="207">
        <f>+'BG '!I45</f>
        <v>8921246</v>
      </c>
      <c r="L10" s="208">
        <f t="shared" si="2"/>
        <v>614289</v>
      </c>
      <c r="M10" s="207">
        <f>+'BG '!O45</f>
        <v>8306957</v>
      </c>
      <c r="N10" s="208">
        <f t="shared" si="2"/>
        <v>4032050</v>
      </c>
      <c r="O10" s="218">
        <f>'[1]Planilla Final 2017'!R29</f>
        <v>4274907</v>
      </c>
      <c r="P10" s="211">
        <f t="shared" si="3"/>
        <v>130512</v>
      </c>
      <c r="Q10" s="205">
        <v>4144395</v>
      </c>
      <c r="T10" s="217"/>
      <c r="U10" s="217"/>
    </row>
    <row r="11" spans="1:21" ht="12" customHeight="1" x14ac:dyDescent="0.2">
      <c r="A11" s="206" t="s">
        <v>19</v>
      </c>
      <c r="B11" s="207">
        <f>+'BG '!I14</f>
        <v>18057048</v>
      </c>
      <c r="C11" s="208">
        <f t="shared" si="0"/>
        <v>-12947161</v>
      </c>
      <c r="D11" s="207">
        <f>+'BG '!O14</f>
        <v>5109887</v>
      </c>
      <c r="E11" s="208">
        <f t="shared" si="0"/>
        <v>428561</v>
      </c>
      <c r="F11" s="210">
        <f>'[1]Planilla Final 2017'!R10</f>
        <v>5538448</v>
      </c>
      <c r="G11" s="211">
        <f t="shared" si="1"/>
        <v>2963608</v>
      </c>
      <c r="H11" s="212">
        <v>2574840</v>
      </c>
      <c r="I11" s="183"/>
      <c r="J11" s="206" t="s">
        <v>108</v>
      </c>
      <c r="K11" s="207">
        <f>+'BG '!I46</f>
        <v>3874091</v>
      </c>
      <c r="L11" s="208">
        <f t="shared" si="2"/>
        <v>1519643</v>
      </c>
      <c r="M11" s="207">
        <f>+'BG '!O46</f>
        <v>2354448</v>
      </c>
      <c r="N11" s="208">
        <f t="shared" si="2"/>
        <v>-1333920</v>
      </c>
      <c r="O11" s="218">
        <f>'[1]Planilla Final 2017'!R30</f>
        <v>3688368</v>
      </c>
      <c r="P11" s="211">
        <f t="shared" si="3"/>
        <v>-31613</v>
      </c>
      <c r="Q11" s="205">
        <f>783153+2936828</f>
        <v>3719981</v>
      </c>
      <c r="T11" s="217"/>
      <c r="U11" s="217"/>
    </row>
    <row r="12" spans="1:21" ht="12" customHeight="1" x14ac:dyDescent="0.2">
      <c r="A12" s="206" t="s">
        <v>11</v>
      </c>
      <c r="B12" s="207">
        <f>+'BG '!I16</f>
        <v>747264</v>
      </c>
      <c r="C12" s="208">
        <f t="shared" si="0"/>
        <v>-246230</v>
      </c>
      <c r="D12" s="207">
        <f>+'BG '!O16</f>
        <v>501034</v>
      </c>
      <c r="E12" s="208">
        <f t="shared" si="0"/>
        <v>141150</v>
      </c>
      <c r="F12" s="210">
        <f>'[1]Planilla Final 2017'!R12</f>
        <v>642184</v>
      </c>
      <c r="G12" s="211">
        <f t="shared" si="1"/>
        <v>-1728719</v>
      </c>
      <c r="H12" s="212">
        <v>2370903</v>
      </c>
      <c r="I12" s="180"/>
      <c r="J12" s="206" t="s">
        <v>348</v>
      </c>
      <c r="K12" s="207">
        <f>+'BG '!I47</f>
        <v>1433844</v>
      </c>
      <c r="L12" s="208">
        <f t="shared" si="2"/>
        <v>-2411127</v>
      </c>
      <c r="M12" s="207">
        <f>+'BG '!O47</f>
        <v>3844971</v>
      </c>
      <c r="N12" s="208">
        <f t="shared" si="2"/>
        <v>-2291584</v>
      </c>
      <c r="O12" s="218">
        <f>'[1]Planilla Final 2017'!R31+'[1]Planilla Final 2017'!R33</f>
        <v>6136555</v>
      </c>
      <c r="P12" s="211">
        <f t="shared" si="3"/>
        <v>-2446877</v>
      </c>
      <c r="Q12" s="205">
        <f>4358272+4225160</f>
        <v>8583432</v>
      </c>
      <c r="T12" s="217"/>
      <c r="U12" s="217"/>
    </row>
    <row r="13" spans="1:21" ht="12" customHeight="1" x14ac:dyDescent="0.2">
      <c r="A13" s="206" t="s">
        <v>12</v>
      </c>
      <c r="B13" s="207">
        <f>+'BG '!I17</f>
        <v>28594642</v>
      </c>
      <c r="C13" s="208">
        <f t="shared" si="0"/>
        <v>-4679936.66</v>
      </c>
      <c r="D13" s="207">
        <f>+'BG '!O17</f>
        <v>23914705.34</v>
      </c>
      <c r="E13" s="208">
        <f t="shared" si="0"/>
        <v>-9029678.3399999999</v>
      </c>
      <c r="F13" s="210">
        <f>'[1]Planilla Final 2017'!R13</f>
        <v>14885027</v>
      </c>
      <c r="G13" s="211">
        <f t="shared" si="1"/>
        <v>-4055589</v>
      </c>
      <c r="H13" s="220">
        <v>18940616</v>
      </c>
      <c r="I13" s="183"/>
      <c r="J13" s="181" t="s">
        <v>381</v>
      </c>
      <c r="K13" s="207">
        <f>+'BG '!I49</f>
        <v>2219217</v>
      </c>
      <c r="L13" s="208">
        <f t="shared" si="2"/>
        <v>2219217</v>
      </c>
      <c r="M13" s="207">
        <f>+'BG '!O49</f>
        <v>0</v>
      </c>
      <c r="N13" s="221"/>
      <c r="O13" s="194">
        <v>0</v>
      </c>
      <c r="P13" s="211">
        <f>+O14-Q13</f>
        <v>184123</v>
      </c>
      <c r="Q13" s="205">
        <v>4375344</v>
      </c>
      <c r="T13" s="217"/>
      <c r="U13" s="217"/>
    </row>
    <row r="14" spans="1:21" ht="12" customHeight="1" x14ac:dyDescent="0.25">
      <c r="B14" s="222"/>
      <c r="C14" s="194"/>
      <c r="D14" s="194"/>
      <c r="E14" s="208"/>
      <c r="F14" s="225"/>
      <c r="G14" s="224"/>
      <c r="H14" s="226"/>
      <c r="I14" s="180"/>
      <c r="J14" s="206" t="s">
        <v>382</v>
      </c>
      <c r="K14" s="227">
        <f>+'BG '!I48</f>
        <v>9753517</v>
      </c>
      <c r="L14" s="208">
        <f>+K14-M14</f>
        <v>2191315</v>
      </c>
      <c r="M14" s="227">
        <f>+'BG '!O48</f>
        <v>7562202</v>
      </c>
      <c r="N14" s="208">
        <f>+M14-O14</f>
        <v>3002735</v>
      </c>
      <c r="O14" s="218">
        <f>'[1]Planilla Final 2017'!R32</f>
        <v>4559467</v>
      </c>
      <c r="T14" s="217"/>
      <c r="U14" s="217"/>
    </row>
    <row r="15" spans="1:21" ht="12" customHeight="1" x14ac:dyDescent="0.2">
      <c r="A15" s="199" t="s">
        <v>383</v>
      </c>
      <c r="B15" s="229">
        <f>SUM(B5:B13)</f>
        <v>99616130</v>
      </c>
      <c r="C15" s="208"/>
      <c r="D15" s="223">
        <f>SUM(D5:D13)</f>
        <v>85601291.659999996</v>
      </c>
      <c r="E15" s="208"/>
      <c r="F15" s="225"/>
      <c r="G15" s="224"/>
      <c r="H15" s="226"/>
      <c r="I15" s="183"/>
      <c r="J15" s="230" t="s">
        <v>384</v>
      </c>
      <c r="K15" s="207">
        <f>SUM(K5:K14)</f>
        <v>61837414</v>
      </c>
      <c r="L15" s="208"/>
      <c r="M15" s="231">
        <f>SUM(M5:M14)</f>
        <v>65930656</v>
      </c>
      <c r="N15" s="208"/>
      <c r="O15" s="232">
        <f>SUM(O5:O14)</f>
        <v>66142358</v>
      </c>
      <c r="P15" s="211"/>
      <c r="T15" s="217"/>
      <c r="U15" s="217"/>
    </row>
    <row r="16" spans="1:21" ht="12" customHeight="1" x14ac:dyDescent="0.2">
      <c r="A16" s="206"/>
      <c r="B16" s="194"/>
      <c r="C16" s="208"/>
      <c r="D16" s="233"/>
      <c r="E16" s="208">
        <f t="shared" ref="E16:E23" si="4">+F16-D18</f>
        <v>1762541</v>
      </c>
      <c r="F16" s="210">
        <f>'[1]Planilla Final 2017'!R15</f>
        <v>3212434</v>
      </c>
      <c r="G16" s="211">
        <f t="shared" ref="G16:G25" si="5">F16-H16</f>
        <v>206140</v>
      </c>
      <c r="H16" s="212">
        <v>3006294</v>
      </c>
      <c r="I16" s="180"/>
      <c r="K16" s="207"/>
      <c r="L16" s="221"/>
      <c r="M16" s="194"/>
      <c r="N16" s="221"/>
      <c r="O16" s="194"/>
      <c r="P16" s="211">
        <f t="shared" ref="P16:P23" si="6">+O18-Q16</f>
        <v>251068</v>
      </c>
      <c r="Q16" s="205">
        <f>23039030-13615166</f>
        <v>9423864</v>
      </c>
      <c r="T16" s="217"/>
      <c r="U16" s="217"/>
    </row>
    <row r="17" spans="1:25" ht="12" customHeight="1" x14ac:dyDescent="0.2">
      <c r="A17" s="199" t="s">
        <v>385</v>
      </c>
      <c r="B17" s="194"/>
      <c r="C17" s="208"/>
      <c r="D17" s="233"/>
      <c r="E17" s="208">
        <f t="shared" si="4"/>
        <v>0</v>
      </c>
      <c r="F17" s="194">
        <f>+'[1]Planilla Final 2017'!R14</f>
        <v>3150764</v>
      </c>
      <c r="G17" s="211">
        <f t="shared" si="5"/>
        <v>3150764</v>
      </c>
      <c r="H17" s="212">
        <v>0</v>
      </c>
      <c r="I17" s="183"/>
      <c r="J17" s="201" t="s">
        <v>386</v>
      </c>
      <c r="K17" s="207"/>
      <c r="L17" s="208"/>
      <c r="M17" s="203"/>
      <c r="N17" s="208"/>
      <c r="O17" s="194"/>
      <c r="P17" s="211">
        <f t="shared" si="6"/>
        <v>-6904650</v>
      </c>
      <c r="Q17" s="205">
        <v>13615166</v>
      </c>
      <c r="T17" s="217"/>
      <c r="U17" s="217"/>
    </row>
    <row r="18" spans="1:25" ht="12" customHeight="1" x14ac:dyDescent="0.2">
      <c r="A18" s="206" t="s">
        <v>19</v>
      </c>
      <c r="B18" s="207">
        <f>+'BG '!I24</f>
        <v>360864</v>
      </c>
      <c r="C18" s="208">
        <f t="shared" ref="C18:C27" si="7">+D18-B18</f>
        <v>1089029</v>
      </c>
      <c r="D18" s="207">
        <f>+'BG '!O24</f>
        <v>1449893</v>
      </c>
      <c r="E18" s="208">
        <f t="shared" si="4"/>
        <v>55356226.938547999</v>
      </c>
      <c r="F18" s="210">
        <f>'[1]Planilla Final 2017'!R16</f>
        <v>112886401</v>
      </c>
      <c r="G18" s="211">
        <f t="shared" si="5"/>
        <v>-2499431</v>
      </c>
      <c r="H18" s="212">
        <v>115385832</v>
      </c>
      <c r="I18" s="183"/>
      <c r="J18" s="234" t="s">
        <v>387</v>
      </c>
      <c r="K18" s="207">
        <f>+'BG '!I54</f>
        <v>2563290</v>
      </c>
      <c r="L18" s="208">
        <f t="shared" ref="L18:N26" si="8">+K18-M18</f>
        <v>-4447640</v>
      </c>
      <c r="M18" s="207">
        <f>+'BG '!O54</f>
        <v>7010930</v>
      </c>
      <c r="N18" s="208">
        <f t="shared" ref="N18:N25" si="9">+M18-O18</f>
        <v>-2664002</v>
      </c>
      <c r="O18" s="235">
        <f>'[1]Planilla Final 2017'!R34</f>
        <v>9674932</v>
      </c>
      <c r="P18" s="211">
        <f t="shared" si="6"/>
        <v>-3509537</v>
      </c>
      <c r="Q18" s="205">
        <v>5713210</v>
      </c>
      <c r="T18" s="217"/>
      <c r="U18" s="217"/>
    </row>
    <row r="19" spans="1:25" ht="12" customHeight="1" x14ac:dyDescent="0.2">
      <c r="A19" s="206" t="s">
        <v>378</v>
      </c>
      <c r="B19" s="207">
        <f>+'BG '!I23</f>
        <v>2077739</v>
      </c>
      <c r="C19" s="208">
        <f t="shared" si="7"/>
        <v>1073025</v>
      </c>
      <c r="D19" s="207">
        <f>+'BG '!O23</f>
        <v>3150764</v>
      </c>
      <c r="E19" s="208">
        <f t="shared" si="4"/>
        <v>37744</v>
      </c>
      <c r="F19" s="210">
        <f>'[1]Planilla Final 2017'!R17</f>
        <v>661755</v>
      </c>
      <c r="G19" s="211">
        <f t="shared" si="5"/>
        <v>-39210</v>
      </c>
      <c r="H19" s="212">
        <v>700965</v>
      </c>
      <c r="I19" s="183"/>
      <c r="J19" s="234" t="s">
        <v>388</v>
      </c>
      <c r="K19" s="207">
        <f>+'BG '!I55</f>
        <v>0</v>
      </c>
      <c r="L19" s="208">
        <f t="shared" si="8"/>
        <v>-2447101</v>
      </c>
      <c r="M19" s="207">
        <f>+'BG '!O55</f>
        <v>2447101</v>
      </c>
      <c r="N19" s="208">
        <f t="shared" si="9"/>
        <v>-4263415</v>
      </c>
      <c r="O19" s="235">
        <f>'[1]Planilla Final 2017'!R35</f>
        <v>6710516</v>
      </c>
      <c r="P19" s="211">
        <f t="shared" si="6"/>
        <v>2</v>
      </c>
      <c r="Q19" s="205">
        <v>10628878</v>
      </c>
      <c r="S19" s="236"/>
      <c r="T19" s="217"/>
      <c r="U19" s="217"/>
      <c r="W19" s="237"/>
      <c r="Y19" s="237"/>
    </row>
    <row r="20" spans="1:25" ht="12" customHeight="1" x14ac:dyDescent="0.2">
      <c r="A20" s="206" t="s">
        <v>389</v>
      </c>
      <c r="B20" s="207">
        <f>+'BG '!I25</f>
        <v>46392449.061452001</v>
      </c>
      <c r="C20" s="208">
        <f t="shared" si="7"/>
        <v>11137725</v>
      </c>
      <c r="D20" s="207">
        <f>+'BG '!O25</f>
        <v>57530174.061452001</v>
      </c>
      <c r="E20" s="208">
        <f t="shared" si="4"/>
        <v>-3174309.4299999997</v>
      </c>
      <c r="F20" s="210">
        <f>'[1]Planilla Final 2017'!R18</f>
        <v>11276112</v>
      </c>
      <c r="G20" s="211">
        <f t="shared" si="5"/>
        <v>-841341</v>
      </c>
      <c r="H20" s="212">
        <v>12117453</v>
      </c>
      <c r="I20" s="183"/>
      <c r="J20" s="206" t="s">
        <v>377</v>
      </c>
      <c r="K20" s="207">
        <f>+'BG '!I57</f>
        <v>0</v>
      </c>
      <c r="L20" s="208">
        <f t="shared" si="8"/>
        <v>-2345800</v>
      </c>
      <c r="M20" s="207">
        <f>+'BG '!O57</f>
        <v>2345800</v>
      </c>
      <c r="N20" s="208">
        <f t="shared" si="9"/>
        <v>142127</v>
      </c>
      <c r="O20" s="235">
        <f>'[1]Planilla Final 2017'!R36</f>
        <v>2203673</v>
      </c>
      <c r="P20" s="211">
        <f t="shared" si="6"/>
        <v>-477887</v>
      </c>
      <c r="Q20" s="205">
        <f>2766149+27717</f>
        <v>2793866</v>
      </c>
      <c r="T20" s="217"/>
      <c r="U20" s="217"/>
      <c r="V20" s="183"/>
      <c r="W20" s="237"/>
      <c r="X20" s="183"/>
      <c r="Y20" s="237"/>
    </row>
    <row r="21" spans="1:25" ht="12" customHeight="1" x14ac:dyDescent="0.2">
      <c r="A21" s="206" t="s">
        <v>390</v>
      </c>
      <c r="B21" s="207">
        <f>+'BG '!I26</f>
        <v>584801</v>
      </c>
      <c r="C21" s="208">
        <f t="shared" si="7"/>
        <v>39210</v>
      </c>
      <c r="D21" s="207">
        <f>+'BG '!O26</f>
        <v>624011</v>
      </c>
      <c r="E21" s="208">
        <f t="shared" si="4"/>
        <v>0</v>
      </c>
      <c r="F21" s="210">
        <f>'[1]Planilla Final 2017'!R19</f>
        <v>1422229</v>
      </c>
      <c r="G21" s="211">
        <f t="shared" si="5"/>
        <v>0</v>
      </c>
      <c r="H21" s="212">
        <v>1422229</v>
      </c>
      <c r="I21" s="183"/>
      <c r="J21" s="206" t="s">
        <v>379</v>
      </c>
      <c r="K21" s="207">
        <f>+'BG '!I58</f>
        <v>0</v>
      </c>
      <c r="L21" s="208">
        <f t="shared" si="8"/>
        <v>-10628880</v>
      </c>
      <c r="M21" s="207">
        <f>+'BG '!O58</f>
        <v>10628880</v>
      </c>
      <c r="N21" s="208">
        <f t="shared" si="9"/>
        <v>0</v>
      </c>
      <c r="O21" s="235">
        <f>'[1]Planilla Final 2017'!R37</f>
        <v>10628880</v>
      </c>
      <c r="P21" s="211">
        <f t="shared" si="6"/>
        <v>-610580</v>
      </c>
      <c r="Q21" s="205">
        <v>5796127</v>
      </c>
      <c r="T21" s="217"/>
      <c r="U21" s="217"/>
    </row>
    <row r="22" spans="1:25" ht="12" customHeight="1" x14ac:dyDescent="0.2">
      <c r="A22" s="206" t="s">
        <v>391</v>
      </c>
      <c r="B22" s="207">
        <f>+'BG '!I27</f>
        <v>14687588</v>
      </c>
      <c r="C22" s="208">
        <f t="shared" si="7"/>
        <v>-237166.5700000003</v>
      </c>
      <c r="D22" s="207">
        <f>+'BG '!O27</f>
        <v>14450421.43</v>
      </c>
      <c r="E22" s="208">
        <f t="shared" si="4"/>
        <v>-35698843</v>
      </c>
      <c r="F22" s="210">
        <f>'[1]Planilla Final 2017'!R20</f>
        <v>3318028</v>
      </c>
      <c r="G22" s="211">
        <f t="shared" si="5"/>
        <v>-3227531</v>
      </c>
      <c r="H22" s="212">
        <v>6545559</v>
      </c>
      <c r="I22" s="183"/>
      <c r="J22" s="206" t="s">
        <v>108</v>
      </c>
      <c r="K22" s="207">
        <f>+'BG '!I59</f>
        <v>13645838</v>
      </c>
      <c r="L22" s="208">
        <f t="shared" si="8"/>
        <v>16581366</v>
      </c>
      <c r="M22" s="207">
        <f>+'BG '!O59</f>
        <v>-2935528</v>
      </c>
      <c r="N22" s="208">
        <f t="shared" si="9"/>
        <v>-5251507</v>
      </c>
      <c r="O22" s="235">
        <f>'[1]Planilla Final 2017'!R38</f>
        <v>2315979</v>
      </c>
      <c r="P22" s="211">
        <f t="shared" si="6"/>
        <v>3116879</v>
      </c>
      <c r="Q22" s="205">
        <v>17696327</v>
      </c>
      <c r="T22" s="217"/>
      <c r="U22" s="217"/>
    </row>
    <row r="23" spans="1:25" ht="12" customHeight="1" x14ac:dyDescent="0.2">
      <c r="A23" s="206" t="s">
        <v>178</v>
      </c>
      <c r="B23" s="207">
        <f>+'BG '!I29</f>
        <v>1673584</v>
      </c>
      <c r="C23" s="208">
        <f t="shared" si="7"/>
        <v>-251355</v>
      </c>
      <c r="D23" s="207">
        <f>+'BG '!O29</f>
        <v>1422229</v>
      </c>
      <c r="E23" s="208">
        <f t="shared" si="4"/>
        <v>4181874</v>
      </c>
      <c r="F23" s="210">
        <f>'[1]Planilla Final 2017'!R21+'[1]Planilla Final 2017'!R22</f>
        <v>4326687</v>
      </c>
      <c r="G23" s="211">
        <f t="shared" si="5"/>
        <v>1190535</v>
      </c>
      <c r="H23" s="212">
        <f>106009+3030143</f>
        <v>3136152</v>
      </c>
      <c r="I23" s="183"/>
      <c r="J23" s="206" t="s">
        <v>392</v>
      </c>
      <c r="K23" s="207">
        <f>+'BG '!I61</f>
        <v>9761491</v>
      </c>
      <c r="L23" s="208">
        <f t="shared" si="8"/>
        <v>2619391</v>
      </c>
      <c r="M23" s="207">
        <f>+'BG '!O61</f>
        <v>7142100</v>
      </c>
      <c r="N23" s="208">
        <f t="shared" si="9"/>
        <v>1956553</v>
      </c>
      <c r="O23" s="235">
        <f>'[1]Planilla Final 2017'!R39</f>
        <v>5185547</v>
      </c>
      <c r="P23" s="211">
        <f t="shared" si="6"/>
        <v>0</v>
      </c>
      <c r="Q23" s="238">
        <v>3572443</v>
      </c>
      <c r="T23" s="217"/>
      <c r="U23" s="217"/>
    </row>
    <row r="24" spans="1:25" ht="12" customHeight="1" x14ac:dyDescent="0.2">
      <c r="A24" s="206" t="s">
        <v>393</v>
      </c>
      <c r="B24" s="207">
        <f>+'BG '!I30</f>
        <v>39016871</v>
      </c>
      <c r="C24" s="208">
        <f t="shared" si="7"/>
        <v>0</v>
      </c>
      <c r="D24" s="207">
        <f>+'BG '!O30</f>
        <v>39016871</v>
      </c>
      <c r="E24" s="208"/>
      <c r="F24" s="210">
        <v>0</v>
      </c>
      <c r="G24" s="211"/>
      <c r="H24" s="212"/>
      <c r="I24" s="183"/>
      <c r="J24" s="206" t="s">
        <v>348</v>
      </c>
      <c r="K24" s="207">
        <f>+'BG '!I60</f>
        <v>18563321</v>
      </c>
      <c r="L24" s="208">
        <f t="shared" si="8"/>
        <v>-6232736</v>
      </c>
      <c r="M24" s="207">
        <f>+'BG '!O60</f>
        <v>24796057</v>
      </c>
      <c r="N24" s="208">
        <f t="shared" si="9"/>
        <v>3982851</v>
      </c>
      <c r="O24" s="235">
        <f>'[1]Planilla Final 2017'!R40</f>
        <v>20813206</v>
      </c>
      <c r="P24" s="211"/>
      <c r="Q24" s="238"/>
      <c r="T24" s="217"/>
      <c r="U24" s="217"/>
    </row>
    <row r="25" spans="1:25" ht="12" customHeight="1" x14ac:dyDescent="0.2">
      <c r="A25" s="206" t="s">
        <v>49</v>
      </c>
      <c r="B25" s="207">
        <f>+'BG '!I32</f>
        <v>60527</v>
      </c>
      <c r="C25" s="208">
        <f t="shared" si="7"/>
        <v>84286</v>
      </c>
      <c r="D25" s="207">
        <f>+'BG '!O32</f>
        <v>144813</v>
      </c>
      <c r="E25" s="208">
        <f>+F25-D27</f>
        <v>-3846182.4351480003</v>
      </c>
      <c r="F25" s="239">
        <v>0</v>
      </c>
      <c r="G25" s="211">
        <f t="shared" si="5"/>
        <v>0</v>
      </c>
      <c r="H25" s="220">
        <v>0</v>
      </c>
      <c r="J25" s="206" t="s">
        <v>394</v>
      </c>
      <c r="K25" s="207">
        <f>+'BG '!I63</f>
        <v>3724199</v>
      </c>
      <c r="L25" s="208">
        <f t="shared" si="8"/>
        <v>3724199</v>
      </c>
      <c r="M25" s="207">
        <f>+'BG '!O63</f>
        <v>0</v>
      </c>
      <c r="N25" s="208">
        <f t="shared" si="9"/>
        <v>-3572443</v>
      </c>
      <c r="O25" s="235">
        <f>'[1]Planilla Final 2017'!R41</f>
        <v>3572443</v>
      </c>
      <c r="P25" s="211">
        <f>+O26-Q25</f>
        <v>0</v>
      </c>
      <c r="Q25" s="240">
        <v>0</v>
      </c>
      <c r="T25" s="217"/>
      <c r="U25" s="217"/>
    </row>
    <row r="26" spans="1:25" ht="12" customHeight="1" x14ac:dyDescent="0.2">
      <c r="A26" s="206" t="s">
        <v>343</v>
      </c>
      <c r="B26" s="207">
        <f>+'BG '!I28</f>
        <v>4147107</v>
      </c>
      <c r="C26" s="208">
        <f t="shared" si="7"/>
        <v>-4147107</v>
      </c>
      <c r="D26" s="207">
        <f>+'BG '!O28</f>
        <v>0</v>
      </c>
      <c r="E26" s="221"/>
      <c r="F26" s="241">
        <f>SUM(F16:F25)</f>
        <v>140254410</v>
      </c>
      <c r="H26" s="242">
        <f>SUM(H16:H25)</f>
        <v>142314484</v>
      </c>
      <c r="I26" s="183"/>
      <c r="J26" s="206" t="s">
        <v>314</v>
      </c>
      <c r="K26" s="207">
        <f>+'BG '!I62</f>
        <v>2580000</v>
      </c>
      <c r="L26" s="208">
        <f t="shared" si="8"/>
        <v>0</v>
      </c>
      <c r="M26" s="207">
        <f>+'BG '!O62</f>
        <v>2580000</v>
      </c>
      <c r="N26" s="208">
        <f t="shared" si="8"/>
        <v>2580000</v>
      </c>
      <c r="O26" s="243">
        <v>0</v>
      </c>
      <c r="Q26" s="244">
        <f>SUM(Q16:Q25)</f>
        <v>69239881</v>
      </c>
      <c r="T26" s="217"/>
      <c r="U26" s="217"/>
    </row>
    <row r="27" spans="1:25" ht="12" customHeight="1" x14ac:dyDescent="0.2">
      <c r="A27" s="206" t="s">
        <v>232</v>
      </c>
      <c r="B27" s="227">
        <f>+'BG '!I31</f>
        <v>3561499.1851480007</v>
      </c>
      <c r="C27" s="208">
        <f t="shared" si="7"/>
        <v>284683.24999999953</v>
      </c>
      <c r="D27" s="227">
        <f>+'BG '!O31</f>
        <v>3846182.4351480003</v>
      </c>
      <c r="E27" s="221"/>
      <c r="F27" s="194"/>
      <c r="J27" s="230" t="s">
        <v>395</v>
      </c>
      <c r="K27" s="245">
        <f>SUM(K18:K26)</f>
        <v>50838139</v>
      </c>
      <c r="L27" s="221"/>
      <c r="M27" s="246">
        <f>SUM(M18:M26)</f>
        <v>54015340</v>
      </c>
      <c r="N27" s="221"/>
      <c r="O27" s="246">
        <f>SUM(O18:O25)</f>
        <v>61105176</v>
      </c>
      <c r="Q27" s="247" t="e">
        <f>+#REF!+Q26</f>
        <v>#REF!</v>
      </c>
      <c r="T27" s="217"/>
      <c r="U27" s="217"/>
    </row>
    <row r="28" spans="1:25" ht="12" customHeight="1" x14ac:dyDescent="0.2">
      <c r="A28" s="199" t="s">
        <v>396</v>
      </c>
      <c r="B28" s="207">
        <f>SUM(B18:B27)</f>
        <v>112563029.2466</v>
      </c>
      <c r="C28" s="241"/>
      <c r="D28" s="241">
        <f>SUM(D18:D27)</f>
        <v>121635358.92660001</v>
      </c>
      <c r="E28" s="221"/>
      <c r="F28" s="194"/>
      <c r="J28" s="230" t="s">
        <v>397</v>
      </c>
      <c r="K28" s="245">
        <f>+K15+K27</f>
        <v>112675553</v>
      </c>
      <c r="L28" s="221"/>
      <c r="M28" s="248">
        <f>+M27+M15</f>
        <v>119945996</v>
      </c>
      <c r="N28" s="221"/>
      <c r="O28" s="248">
        <f>+O15+O27</f>
        <v>127247534</v>
      </c>
      <c r="Q28" s="219"/>
      <c r="T28" s="217"/>
      <c r="U28" s="217"/>
    </row>
    <row r="29" spans="1:25" ht="12" customHeight="1" x14ac:dyDescent="0.2">
      <c r="B29" s="207"/>
      <c r="C29" s="194"/>
      <c r="D29" s="194"/>
      <c r="E29" s="221"/>
      <c r="F29" s="194"/>
      <c r="I29" s="183"/>
      <c r="J29" s="230"/>
      <c r="K29" s="207"/>
      <c r="L29" s="221"/>
      <c r="M29" s="249"/>
      <c r="N29" s="221"/>
      <c r="O29" s="209"/>
      <c r="Q29" s="250"/>
      <c r="T29" s="217"/>
      <c r="U29" s="217"/>
    </row>
    <row r="30" spans="1:25" ht="12" customHeight="1" x14ac:dyDescent="0.2">
      <c r="B30" s="207"/>
      <c r="C30" s="194"/>
      <c r="D30" s="194"/>
      <c r="E30" s="221"/>
      <c r="F30" s="194"/>
      <c r="J30" s="230" t="s">
        <v>398</v>
      </c>
      <c r="K30" s="207">
        <f>+'BG '!I72</f>
        <v>99503606.11174798</v>
      </c>
      <c r="L30" s="221">
        <f>K30-M30</f>
        <v>12212951.75</v>
      </c>
      <c r="M30" s="207">
        <f>+'BG '!O72</f>
        <v>87290654.36174798</v>
      </c>
      <c r="N30" s="221">
        <f>M30-O30</f>
        <v>6965302.3617479801</v>
      </c>
      <c r="O30" s="251">
        <f>'[1]Planilla Final 2017'!R51</f>
        <v>80325352</v>
      </c>
      <c r="P30" s="228">
        <f>O30-Q30</f>
        <v>5629205</v>
      </c>
      <c r="Q30" s="252">
        <f>77632975-2936828</f>
        <v>74696147</v>
      </c>
      <c r="S30" s="219"/>
      <c r="T30" s="217"/>
      <c r="U30" s="217"/>
    </row>
    <row r="31" spans="1:25" ht="12" customHeight="1" x14ac:dyDescent="0.2">
      <c r="B31" s="207"/>
      <c r="C31" s="194"/>
      <c r="D31" s="194"/>
      <c r="E31" s="221"/>
      <c r="F31" s="194"/>
      <c r="I31" s="253"/>
      <c r="K31" s="194"/>
      <c r="L31" s="194"/>
      <c r="M31" s="194"/>
      <c r="N31" s="221"/>
      <c r="O31" s="194"/>
      <c r="T31" s="217"/>
      <c r="U31" s="217"/>
    </row>
    <row r="32" spans="1:25" ht="12" customHeight="1" thickBot="1" x14ac:dyDescent="0.25">
      <c r="A32" s="180" t="s">
        <v>399</v>
      </c>
      <c r="B32" s="254">
        <f>+B28+B15</f>
        <v>212179159.2466</v>
      </c>
      <c r="C32" s="255"/>
      <c r="D32" s="254">
        <f>+D28+D15</f>
        <v>207236650.58660001</v>
      </c>
      <c r="E32" s="196"/>
      <c r="F32" s="254" t="e">
        <f>+F26+#REF!</f>
        <v>#REF!</v>
      </c>
      <c r="G32" s="182"/>
      <c r="H32" s="256" t="e">
        <f>+H26+#REF!</f>
        <v>#REF!</v>
      </c>
      <c r="I32" s="183"/>
      <c r="J32" s="257" t="s">
        <v>400</v>
      </c>
      <c r="K32" s="254">
        <f>+K30+K28</f>
        <v>212179159.11174798</v>
      </c>
      <c r="L32" s="255"/>
      <c r="M32" s="254">
        <f>+M30+M28</f>
        <v>207236650.36174798</v>
      </c>
      <c r="N32" s="196"/>
      <c r="O32" s="254">
        <f>+O28+O30</f>
        <v>207572886</v>
      </c>
      <c r="P32" s="182"/>
      <c r="Q32" s="256" t="e">
        <f>+Q27+Q30</f>
        <v>#REF!</v>
      </c>
      <c r="T32" s="217"/>
      <c r="U32" s="217"/>
    </row>
    <row r="33" spans="1:20" ht="5.0999999999999996" customHeight="1" thickTop="1" x14ac:dyDescent="0.2">
      <c r="B33" s="258"/>
      <c r="C33" s="258"/>
      <c r="D33" s="258"/>
      <c r="E33" s="259"/>
      <c r="F33" s="260"/>
      <c r="I33" s="183"/>
      <c r="J33" s="250"/>
      <c r="K33" s="258"/>
      <c r="L33" s="261"/>
      <c r="M33" s="261"/>
      <c r="N33" s="259"/>
      <c r="O33" s="258"/>
      <c r="T33" s="250"/>
    </row>
    <row r="34" spans="1:20" ht="9" customHeight="1" x14ac:dyDescent="0.2">
      <c r="B34" s="181"/>
      <c r="F34" s="262"/>
      <c r="I34" s="183"/>
      <c r="J34" s="250"/>
      <c r="K34" s="216">
        <f>+K32-B32</f>
        <v>-0.13485202193260193</v>
      </c>
      <c r="L34" s="216">
        <f t="shared" ref="L34:M34" si="10">+L32-C32</f>
        <v>0</v>
      </c>
      <c r="M34" s="216">
        <f t="shared" si="10"/>
        <v>-0.22485202550888062</v>
      </c>
      <c r="T34" s="250"/>
    </row>
    <row r="35" spans="1:20" ht="12" customHeight="1" x14ac:dyDescent="0.2">
      <c r="B35" s="181"/>
      <c r="F35" s="250"/>
      <c r="I35" s="183"/>
      <c r="J35" s="250"/>
      <c r="K35" s="181"/>
      <c r="L35" s="250"/>
      <c r="M35" s="250"/>
      <c r="O35" s="250"/>
      <c r="Q35" s="250"/>
      <c r="T35" s="250"/>
    </row>
    <row r="36" spans="1:20" ht="12" customHeight="1" x14ac:dyDescent="0.2">
      <c r="A36" s="263" t="s">
        <v>401</v>
      </c>
      <c r="B36" s="264"/>
      <c r="D36" s="265"/>
      <c r="E36" s="266"/>
      <c r="F36" s="250"/>
      <c r="G36" s="266"/>
      <c r="I36" s="183"/>
      <c r="J36" s="267" t="s">
        <v>402</v>
      </c>
      <c r="K36" s="264"/>
      <c r="L36" s="250"/>
      <c r="M36" s="250"/>
      <c r="N36" s="266"/>
      <c r="P36" s="266"/>
      <c r="T36" s="250"/>
    </row>
    <row r="37" spans="1:20" ht="12" customHeight="1" x14ac:dyDescent="0.2">
      <c r="A37" s="268" t="s">
        <v>403</v>
      </c>
      <c r="B37" s="207">
        <v>0</v>
      </c>
      <c r="C37" s="269"/>
      <c r="D37" s="269"/>
      <c r="E37" s="266"/>
      <c r="F37" s="250"/>
      <c r="G37" s="266"/>
      <c r="H37" s="250"/>
      <c r="I37" s="183"/>
      <c r="J37" s="268" t="s">
        <v>404</v>
      </c>
      <c r="K37" s="207">
        <f>+ER!H40</f>
        <v>22955946.75</v>
      </c>
      <c r="L37" s="250"/>
      <c r="M37" s="250"/>
      <c r="N37" s="266"/>
      <c r="P37" s="266"/>
      <c r="T37" s="250"/>
    </row>
    <row r="38" spans="1:20" ht="12" customHeight="1" x14ac:dyDescent="0.2">
      <c r="A38" s="270" t="s">
        <v>405</v>
      </c>
      <c r="B38" s="227">
        <v>0</v>
      </c>
      <c r="C38" s="271"/>
      <c r="D38" s="271"/>
      <c r="E38" s="266"/>
      <c r="F38" s="250"/>
      <c r="G38" s="266"/>
      <c r="J38" s="272" t="s">
        <v>330</v>
      </c>
      <c r="K38" s="207">
        <f>+PAT!J171</f>
        <v>-8861058</v>
      </c>
      <c r="L38" s="273"/>
      <c r="M38" s="273"/>
      <c r="N38" s="266"/>
      <c r="P38" s="266"/>
      <c r="T38" s="250"/>
    </row>
    <row r="39" spans="1:20" ht="12" customHeight="1" x14ac:dyDescent="0.2">
      <c r="A39" s="274" t="s">
        <v>406</v>
      </c>
      <c r="B39" s="227">
        <f>+B37+B38</f>
        <v>0</v>
      </c>
      <c r="C39" s="271"/>
      <c r="D39" s="271"/>
      <c r="E39" s="266"/>
      <c r="F39" s="250"/>
      <c r="G39" s="266"/>
      <c r="I39" s="183"/>
      <c r="J39" s="268" t="s">
        <v>408</v>
      </c>
      <c r="K39" s="322">
        <f>+PAT!J170</f>
        <v>-1881937</v>
      </c>
      <c r="L39" s="273"/>
      <c r="M39" s="273"/>
      <c r="N39" s="266"/>
      <c r="P39" s="266"/>
      <c r="T39" s="250"/>
    </row>
    <row r="40" spans="1:20" ht="12" customHeight="1" x14ac:dyDescent="0.2">
      <c r="B40" s="275">
        <f>+B39-C24</f>
        <v>0</v>
      </c>
      <c r="F40" s="250"/>
      <c r="I40" s="183"/>
      <c r="J40" s="268" t="s">
        <v>410</v>
      </c>
      <c r="K40" s="207">
        <v>0</v>
      </c>
      <c r="L40" s="250"/>
      <c r="M40" s="250"/>
      <c r="O40" s="250"/>
      <c r="Q40" s="250"/>
      <c r="T40" s="250"/>
    </row>
    <row r="41" spans="1:20" ht="12" customHeight="1" x14ac:dyDescent="0.2">
      <c r="A41" s="263" t="s">
        <v>407</v>
      </c>
      <c r="B41" s="264"/>
      <c r="E41" s="266"/>
      <c r="F41" s="250"/>
      <c r="G41" s="266"/>
      <c r="I41" s="183"/>
      <c r="J41" s="276" t="s">
        <v>406</v>
      </c>
      <c r="K41" s="245">
        <f>SUM(K37:K40)</f>
        <v>12212951.75</v>
      </c>
      <c r="L41" s="250"/>
      <c r="M41" s="250"/>
      <c r="N41" s="266"/>
      <c r="P41" s="266"/>
      <c r="T41" s="250"/>
    </row>
    <row r="42" spans="1:20" ht="12" customHeight="1" x14ac:dyDescent="0.2">
      <c r="A42" s="268" t="s">
        <v>409</v>
      </c>
      <c r="B42" s="207">
        <f>+EFE!I12</f>
        <v>28468856</v>
      </c>
      <c r="C42" s="269"/>
      <c r="D42" s="269"/>
      <c r="E42" s="266"/>
      <c r="F42" s="250"/>
      <c r="G42" s="266"/>
      <c r="H42" s="250"/>
      <c r="I42" s="183"/>
      <c r="J42" s="273"/>
      <c r="K42" s="271">
        <f>+K41-L30</f>
        <v>0</v>
      </c>
      <c r="L42" s="250"/>
      <c r="M42" s="250"/>
      <c r="N42" s="266"/>
      <c r="P42" s="266"/>
      <c r="T42" s="250"/>
    </row>
    <row r="43" spans="1:20" ht="12" customHeight="1" x14ac:dyDescent="0.2">
      <c r="A43" s="270" t="s">
        <v>405</v>
      </c>
      <c r="B43" s="227">
        <f>-B42+C20</f>
        <v>-17331131</v>
      </c>
      <c r="C43" s="271"/>
      <c r="D43" s="271"/>
      <c r="E43" s="266"/>
      <c r="F43" s="250"/>
      <c r="G43" s="266"/>
      <c r="J43" s="277" t="s">
        <v>404</v>
      </c>
      <c r="K43" s="229">
        <f>+K37</f>
        <v>22955946.75</v>
      </c>
      <c r="L43" s="273"/>
      <c r="M43" s="273"/>
      <c r="N43" s="266"/>
      <c r="P43" s="266"/>
      <c r="T43" s="250"/>
    </row>
    <row r="44" spans="1:20" ht="12" customHeight="1" x14ac:dyDescent="0.2">
      <c r="A44" s="274" t="s">
        <v>406</v>
      </c>
      <c r="B44" s="227">
        <f>+B42+B43</f>
        <v>11137725</v>
      </c>
      <c r="C44" s="271"/>
      <c r="D44" s="271"/>
      <c r="E44" s="266"/>
      <c r="F44" s="250"/>
      <c r="G44" s="266"/>
      <c r="I44" s="183"/>
      <c r="J44" s="278" t="s">
        <v>412</v>
      </c>
      <c r="K44" s="227">
        <f>B68</f>
        <v>10175907.25</v>
      </c>
      <c r="L44" s="273"/>
      <c r="M44" s="273"/>
      <c r="N44" s="266"/>
      <c r="P44" s="266"/>
      <c r="T44" s="250"/>
    </row>
    <row r="45" spans="1:20" ht="12" customHeight="1" x14ac:dyDescent="0.2">
      <c r="B45" s="271">
        <f>+B44-C20</f>
        <v>0</v>
      </c>
      <c r="C45" s="271"/>
      <c r="D45" s="271"/>
      <c r="F45" s="262"/>
      <c r="J45" s="279" t="s">
        <v>413</v>
      </c>
      <c r="K45" s="280">
        <f>+K43+K44</f>
        <v>33131854</v>
      </c>
      <c r="L45" s="273"/>
      <c r="M45" s="273"/>
      <c r="T45" s="250"/>
    </row>
    <row r="46" spans="1:20" ht="12" customHeight="1" x14ac:dyDescent="0.25">
      <c r="A46" s="263" t="s">
        <v>411</v>
      </c>
      <c r="B46" s="264"/>
      <c r="E46" s="266"/>
      <c r="F46" s="250"/>
      <c r="G46" s="266"/>
      <c r="I46" s="183"/>
      <c r="K46" s="285">
        <f>+K45-EFE!I8</f>
        <v>0</v>
      </c>
      <c r="L46" s="250"/>
      <c r="M46" s="250"/>
      <c r="N46" s="266"/>
      <c r="P46" s="266"/>
      <c r="T46" s="250"/>
    </row>
    <row r="47" spans="1:20" ht="12" customHeight="1" x14ac:dyDescent="0.25">
      <c r="A47" s="268" t="s">
        <v>409</v>
      </c>
      <c r="B47" s="207">
        <f>+EFE!I14</f>
        <v>2050134</v>
      </c>
      <c r="C47" s="269"/>
      <c r="D47" s="269"/>
      <c r="E47" s="266"/>
      <c r="F47" s="250"/>
      <c r="G47" s="266"/>
      <c r="H47" s="250"/>
      <c r="I47" s="183"/>
      <c r="K47" s="285"/>
      <c r="L47" s="250"/>
      <c r="M47" s="250"/>
      <c r="N47" s="266"/>
      <c r="P47" s="266"/>
      <c r="T47" s="250"/>
    </row>
    <row r="48" spans="1:20" ht="12" customHeight="1" x14ac:dyDescent="0.2">
      <c r="A48" s="270" t="s">
        <v>414</v>
      </c>
      <c r="B48" s="207">
        <f>-4323860-1619556</f>
        <v>-5943416</v>
      </c>
      <c r="C48" s="271"/>
      <c r="D48" s="271"/>
      <c r="E48" s="266"/>
      <c r="F48" s="250"/>
      <c r="G48" s="266"/>
      <c r="J48" s="273"/>
      <c r="K48" s="181"/>
      <c r="L48" s="273"/>
      <c r="M48" s="273"/>
      <c r="N48" s="266"/>
      <c r="P48" s="266"/>
      <c r="T48" s="250"/>
    </row>
    <row r="49" spans="1:20" ht="12" customHeight="1" x14ac:dyDescent="0.2">
      <c r="A49" s="270" t="s">
        <v>415</v>
      </c>
      <c r="B49" s="227">
        <f>+C26-B47-B48</f>
        <v>-253825</v>
      </c>
      <c r="C49" s="271"/>
      <c r="D49" s="271"/>
      <c r="E49" s="266"/>
      <c r="F49" s="250"/>
      <c r="G49" s="266"/>
      <c r="J49" s="273"/>
      <c r="K49" s="181"/>
      <c r="L49" s="273"/>
      <c r="M49" s="273"/>
      <c r="N49" s="266"/>
      <c r="P49" s="266"/>
      <c r="T49" s="250"/>
    </row>
    <row r="50" spans="1:20" ht="12" customHeight="1" x14ac:dyDescent="0.2">
      <c r="A50" s="274" t="s">
        <v>406</v>
      </c>
      <c r="B50" s="227">
        <f>SUM(B47:B49)</f>
        <v>-4147107</v>
      </c>
      <c r="C50" s="271"/>
      <c r="D50" s="271"/>
      <c r="E50" s="266"/>
      <c r="F50" s="250"/>
      <c r="G50" s="266"/>
      <c r="I50" s="183"/>
      <c r="J50" s="273"/>
      <c r="K50" s="181"/>
      <c r="L50" s="273"/>
      <c r="M50" s="273"/>
      <c r="N50" s="266"/>
      <c r="P50" s="266"/>
      <c r="T50" s="250"/>
    </row>
    <row r="51" spans="1:20" ht="12" customHeight="1" x14ac:dyDescent="0.2">
      <c r="B51" s="281">
        <f>+C26-B50</f>
        <v>0</v>
      </c>
      <c r="C51" s="281"/>
      <c r="D51" s="271"/>
      <c r="E51" s="266"/>
      <c r="F51" s="250"/>
      <c r="G51" s="266"/>
      <c r="I51" s="183"/>
      <c r="J51" s="273"/>
      <c r="K51" s="181"/>
      <c r="L51" s="273"/>
      <c r="M51" s="273"/>
      <c r="N51" s="266"/>
      <c r="P51" s="266"/>
      <c r="T51" s="250"/>
    </row>
    <row r="52" spans="1:20" ht="12" customHeight="1" x14ac:dyDescent="0.2">
      <c r="A52" s="263" t="s">
        <v>416</v>
      </c>
      <c r="B52" s="264"/>
      <c r="C52" s="271"/>
      <c r="D52" s="271"/>
      <c r="E52" s="266"/>
      <c r="F52" s="250"/>
      <c r="G52" s="266"/>
      <c r="I52" s="183"/>
      <c r="J52" s="273"/>
      <c r="K52" s="181"/>
      <c r="L52" s="273"/>
      <c r="M52" s="273"/>
      <c r="N52" s="266"/>
      <c r="P52" s="266"/>
      <c r="T52" s="250"/>
    </row>
    <row r="53" spans="1:20" ht="12" customHeight="1" x14ac:dyDescent="0.2">
      <c r="A53" s="268" t="s">
        <v>417</v>
      </c>
      <c r="B53" s="207">
        <f>+EFE!I19</f>
        <v>3304648</v>
      </c>
      <c r="C53" s="271"/>
      <c r="D53" s="271"/>
      <c r="I53" s="183"/>
      <c r="J53" s="273"/>
      <c r="K53" s="181"/>
      <c r="L53" s="273"/>
      <c r="M53" s="273"/>
      <c r="T53" s="250"/>
    </row>
    <row r="54" spans="1:20" ht="12" customHeight="1" x14ac:dyDescent="0.2">
      <c r="A54" s="270" t="s">
        <v>440</v>
      </c>
      <c r="B54" s="227">
        <f>-B53+L23</f>
        <v>-685257</v>
      </c>
      <c r="C54" s="271"/>
      <c r="D54" s="271"/>
      <c r="E54" s="266"/>
      <c r="F54" s="250"/>
      <c r="G54" s="266"/>
      <c r="I54" s="183"/>
      <c r="J54" s="273"/>
      <c r="K54" s="181"/>
      <c r="L54" s="273"/>
      <c r="M54" s="273"/>
      <c r="N54" s="266"/>
      <c r="P54" s="266"/>
      <c r="T54" s="250"/>
    </row>
    <row r="55" spans="1:20" ht="12" customHeight="1" x14ac:dyDescent="0.2">
      <c r="A55" s="274" t="s">
        <v>406</v>
      </c>
      <c r="B55" s="227">
        <f>+B53+B54</f>
        <v>2619391</v>
      </c>
      <c r="C55" s="271"/>
      <c r="D55" s="271"/>
      <c r="E55" s="266"/>
      <c r="F55" s="250"/>
      <c r="G55" s="266"/>
      <c r="I55" s="183"/>
      <c r="J55" s="273"/>
      <c r="K55" s="181"/>
      <c r="L55" s="273"/>
      <c r="M55" s="273"/>
      <c r="N55" s="266"/>
      <c r="P55" s="266"/>
      <c r="T55" s="250"/>
    </row>
    <row r="56" spans="1:20" ht="12" customHeight="1" x14ac:dyDescent="0.2">
      <c r="B56" s="271">
        <f>+B55-L23</f>
        <v>0</v>
      </c>
      <c r="C56" s="271"/>
      <c r="D56" s="271"/>
      <c r="E56" s="266"/>
      <c r="F56" s="250"/>
      <c r="G56" s="266"/>
      <c r="I56" s="183"/>
      <c r="J56" s="273"/>
      <c r="K56" s="181"/>
      <c r="L56" s="273"/>
      <c r="M56" s="273"/>
      <c r="N56" s="266"/>
      <c r="P56" s="266"/>
      <c r="T56" s="250"/>
    </row>
    <row r="57" spans="1:20" ht="12" customHeight="1" x14ac:dyDescent="0.2">
      <c r="A57" s="263" t="s">
        <v>418</v>
      </c>
      <c r="B57" s="264"/>
      <c r="C57" s="271"/>
      <c r="D57" s="271"/>
      <c r="E57" s="266"/>
      <c r="F57" s="250"/>
      <c r="G57" s="266"/>
      <c r="I57" s="183"/>
      <c r="J57" s="273"/>
      <c r="K57" s="181"/>
      <c r="L57" s="273"/>
      <c r="M57" s="273"/>
      <c r="N57" s="266"/>
      <c r="P57" s="266"/>
      <c r="T57" s="250"/>
    </row>
    <row r="58" spans="1:20" ht="12" customHeight="1" x14ac:dyDescent="0.2">
      <c r="A58" s="268" t="s">
        <v>419</v>
      </c>
      <c r="B58" s="207">
        <f>+EFE!I16</f>
        <v>2724375</v>
      </c>
      <c r="C58" s="271"/>
      <c r="D58" s="271"/>
      <c r="E58" s="266"/>
      <c r="F58" s="250"/>
      <c r="G58" s="266"/>
      <c r="J58" s="273"/>
      <c r="K58" s="181"/>
      <c r="L58" s="273"/>
      <c r="M58" s="273"/>
      <c r="N58" s="266"/>
      <c r="P58" s="266"/>
      <c r="T58" s="250"/>
    </row>
    <row r="59" spans="1:20" ht="12" customHeight="1" x14ac:dyDescent="0.2">
      <c r="A59" s="270" t="s">
        <v>405</v>
      </c>
      <c r="B59" s="227">
        <f>-B58+C22</f>
        <v>-2961541.5700000003</v>
      </c>
      <c r="C59" s="271"/>
      <c r="D59" s="271"/>
      <c r="E59" s="266"/>
      <c r="F59" s="250"/>
      <c r="G59" s="266"/>
      <c r="J59" s="273"/>
      <c r="K59" s="181"/>
      <c r="L59" s="273"/>
      <c r="M59" s="273"/>
      <c r="N59" s="266"/>
      <c r="P59" s="266"/>
      <c r="T59" s="250"/>
    </row>
    <row r="60" spans="1:20" ht="12" customHeight="1" x14ac:dyDescent="0.2">
      <c r="A60" s="274" t="s">
        <v>406</v>
      </c>
      <c r="B60" s="227">
        <f>+B58+B59</f>
        <v>-237166.5700000003</v>
      </c>
      <c r="C60" s="271"/>
      <c r="D60" s="271"/>
      <c r="F60" s="273"/>
      <c r="J60" s="273"/>
      <c r="K60" s="181"/>
      <c r="L60" s="273"/>
      <c r="M60" s="273"/>
      <c r="T60" s="250"/>
    </row>
    <row r="61" spans="1:20" ht="12" customHeight="1" x14ac:dyDescent="0.2">
      <c r="B61" s="271">
        <f>+B60-C22</f>
        <v>0</v>
      </c>
      <c r="C61" s="271"/>
      <c r="D61" s="271"/>
      <c r="F61" s="273"/>
      <c r="J61" s="273"/>
      <c r="K61" s="181"/>
      <c r="L61" s="273"/>
      <c r="M61" s="273"/>
      <c r="T61" s="250"/>
    </row>
    <row r="62" spans="1:20" ht="12" customHeight="1" x14ac:dyDescent="0.2">
      <c r="A62" s="263" t="s">
        <v>420</v>
      </c>
      <c r="B62" s="264"/>
      <c r="C62" s="271"/>
      <c r="D62" s="271"/>
      <c r="J62" s="273"/>
      <c r="K62" s="181"/>
      <c r="L62" s="273"/>
      <c r="M62" s="273"/>
      <c r="T62" s="250"/>
    </row>
    <row r="63" spans="1:20" ht="12" customHeight="1" x14ac:dyDescent="0.2">
      <c r="A63" s="268" t="s">
        <v>421</v>
      </c>
      <c r="B63" s="207">
        <f>+EFE!I13</f>
        <v>39210</v>
      </c>
      <c r="C63" s="271"/>
      <c r="D63" s="271"/>
      <c r="J63" s="273"/>
      <c r="K63" s="181"/>
      <c r="L63" s="273"/>
      <c r="M63" s="273"/>
      <c r="T63" s="250"/>
    </row>
    <row r="64" spans="1:20" ht="12" customHeight="1" x14ac:dyDescent="0.2">
      <c r="A64" s="270" t="s">
        <v>405</v>
      </c>
      <c r="B64" s="227">
        <f>-B63+C21</f>
        <v>0</v>
      </c>
      <c r="C64" s="271"/>
      <c r="D64" s="271"/>
      <c r="K64" s="181"/>
      <c r="T64" s="250"/>
    </row>
    <row r="65" spans="1:20" ht="12" customHeight="1" x14ac:dyDescent="0.2">
      <c r="A65" s="274" t="s">
        <v>422</v>
      </c>
      <c r="B65" s="227">
        <f>+B63+B64</f>
        <v>39210</v>
      </c>
      <c r="C65" s="271"/>
      <c r="D65" s="271"/>
      <c r="K65" s="181"/>
      <c r="T65" s="250"/>
    </row>
    <row r="66" spans="1:20" ht="12" customHeight="1" x14ac:dyDescent="0.2">
      <c r="B66" s="271">
        <f>+B65-C21</f>
        <v>0</v>
      </c>
      <c r="C66" s="271"/>
      <c r="D66" s="271"/>
      <c r="K66" s="181"/>
      <c r="T66" s="250"/>
    </row>
    <row r="67" spans="1:20" ht="12" customHeight="1" x14ac:dyDescent="0.2">
      <c r="A67" s="263" t="s">
        <v>423</v>
      </c>
      <c r="B67" s="229"/>
      <c r="C67" s="271"/>
      <c r="D67" s="271"/>
      <c r="K67" s="181"/>
      <c r="T67" s="250"/>
    </row>
    <row r="68" spans="1:20" ht="12" customHeight="1" x14ac:dyDescent="0.2">
      <c r="A68" s="270" t="s">
        <v>424</v>
      </c>
      <c r="B68" s="207">
        <f>-ER!H35</f>
        <v>10175907.25</v>
      </c>
      <c r="K68" s="181"/>
      <c r="T68" s="250"/>
    </row>
    <row r="69" spans="1:20" ht="12" customHeight="1" x14ac:dyDescent="0.2">
      <c r="A69" s="270" t="s">
        <v>425</v>
      </c>
      <c r="B69" s="207">
        <f>+EFE!I43</f>
        <v>-2091119</v>
      </c>
      <c r="K69" s="181"/>
      <c r="T69" s="250"/>
    </row>
    <row r="70" spans="1:20" ht="12" customHeight="1" x14ac:dyDescent="0.2">
      <c r="A70" s="270" t="s">
        <v>426</v>
      </c>
      <c r="B70" s="282">
        <f>-B68-B69+L10</f>
        <v>-7470499.25</v>
      </c>
      <c r="K70" s="181"/>
      <c r="T70" s="250"/>
    </row>
    <row r="71" spans="1:20" ht="12" customHeight="1" x14ac:dyDescent="0.2">
      <c r="A71" s="274" t="s">
        <v>422</v>
      </c>
      <c r="B71" s="282">
        <f>SUM(B68:B70)</f>
        <v>614289</v>
      </c>
      <c r="K71" s="181"/>
      <c r="T71" s="250"/>
    </row>
    <row r="72" spans="1:20" ht="12" customHeight="1" x14ac:dyDescent="0.2">
      <c r="B72" s="219">
        <f>+B71-L10</f>
        <v>0</v>
      </c>
      <c r="K72" s="181"/>
      <c r="T72" s="250"/>
    </row>
    <row r="73" spans="1:20" ht="12" customHeight="1" x14ac:dyDescent="0.2">
      <c r="A73" s="263" t="s">
        <v>427</v>
      </c>
      <c r="B73" s="229"/>
      <c r="K73" s="181"/>
      <c r="T73" s="250"/>
    </row>
    <row r="74" spans="1:20" ht="12" customHeight="1" x14ac:dyDescent="0.2">
      <c r="A74" s="270" t="s">
        <v>428</v>
      </c>
      <c r="B74" s="207">
        <f>-ER!H34</f>
        <v>5669456</v>
      </c>
      <c r="K74" s="181"/>
      <c r="T74" s="250"/>
    </row>
    <row r="75" spans="1:20" ht="12" customHeight="1" x14ac:dyDescent="0.2">
      <c r="A75" s="270" t="s">
        <v>429</v>
      </c>
      <c r="B75" s="283">
        <f>+EFE!I44</f>
        <v>-2840226</v>
      </c>
      <c r="K75" s="181"/>
      <c r="T75" s="250"/>
    </row>
    <row r="76" spans="1:20" ht="12" customHeight="1" x14ac:dyDescent="0.2">
      <c r="A76" s="270" t="s">
        <v>426</v>
      </c>
      <c r="B76" s="282">
        <f>-B74-B75+L14</f>
        <v>-637915</v>
      </c>
      <c r="K76" s="181"/>
      <c r="T76" s="250"/>
    </row>
    <row r="77" spans="1:20" ht="12" customHeight="1" x14ac:dyDescent="0.2">
      <c r="A77" s="274" t="s">
        <v>422</v>
      </c>
      <c r="B77" s="282">
        <f>SUM(B74:B76)</f>
        <v>2191315</v>
      </c>
      <c r="K77" s="181"/>
      <c r="T77" s="250"/>
    </row>
    <row r="78" spans="1:20" ht="12" customHeight="1" x14ac:dyDescent="0.2">
      <c r="B78" s="219">
        <f>+B77-L14</f>
        <v>0</v>
      </c>
      <c r="K78" s="181"/>
      <c r="T78" s="250"/>
    </row>
    <row r="79" spans="1:20" ht="12" customHeight="1" x14ac:dyDescent="0.2">
      <c r="A79" s="263" t="s">
        <v>430</v>
      </c>
      <c r="B79" s="264"/>
      <c r="K79" s="181"/>
      <c r="T79" s="250"/>
    </row>
    <row r="80" spans="1:20" ht="12" customHeight="1" x14ac:dyDescent="0.2">
      <c r="A80" s="268" t="s">
        <v>431</v>
      </c>
      <c r="B80" s="207">
        <f>+EFE!I10</f>
        <v>300302</v>
      </c>
      <c r="K80" s="181"/>
      <c r="T80" s="250"/>
    </row>
    <row r="81" spans="1:20" ht="12" customHeight="1" x14ac:dyDescent="0.2">
      <c r="A81" s="270" t="s">
        <v>432</v>
      </c>
      <c r="B81" s="227">
        <f>-B80+C8</f>
        <v>-4095201</v>
      </c>
      <c r="K81" s="181"/>
      <c r="T81" s="250"/>
    </row>
    <row r="82" spans="1:20" ht="12" customHeight="1" x14ac:dyDescent="0.2">
      <c r="A82" s="274" t="s">
        <v>422</v>
      </c>
      <c r="B82" s="227">
        <f>+B80+B81</f>
        <v>-3794899</v>
      </c>
      <c r="K82" s="181"/>
      <c r="T82" s="250"/>
    </row>
    <row r="83" spans="1:20" ht="12" customHeight="1" x14ac:dyDescent="0.2">
      <c r="B83" s="271">
        <f>+B82-C8</f>
        <v>0</v>
      </c>
      <c r="K83" s="181"/>
      <c r="T83" s="250"/>
    </row>
    <row r="84" spans="1:20" ht="12" customHeight="1" x14ac:dyDescent="0.2">
      <c r="A84" s="263" t="s">
        <v>433</v>
      </c>
      <c r="B84" s="264"/>
      <c r="K84" s="181"/>
      <c r="T84" s="250"/>
    </row>
    <row r="85" spans="1:20" ht="12" customHeight="1" x14ac:dyDescent="0.2">
      <c r="A85" s="268" t="s">
        <v>437</v>
      </c>
      <c r="B85" s="207">
        <f>+EFE!I22</f>
        <v>-73587</v>
      </c>
      <c r="K85" s="181"/>
      <c r="T85" s="250"/>
    </row>
    <row r="86" spans="1:20" ht="12" customHeight="1" x14ac:dyDescent="0.25">
      <c r="A86" s="270" t="s">
        <v>426</v>
      </c>
      <c r="B86" s="227">
        <f>-B85+C27</f>
        <v>358270.24999999953</v>
      </c>
    </row>
    <row r="87" spans="1:20" ht="12" customHeight="1" x14ac:dyDescent="0.25">
      <c r="A87" s="274" t="s">
        <v>422</v>
      </c>
      <c r="B87" s="227">
        <f>+B85+B86</f>
        <v>284683.24999999953</v>
      </c>
    </row>
    <row r="88" spans="1:20" ht="12" customHeight="1" x14ac:dyDescent="0.25">
      <c r="B88" s="285">
        <f>+B87-C27</f>
        <v>0</v>
      </c>
    </row>
    <row r="89" spans="1:20" ht="12" customHeight="1" x14ac:dyDescent="0.25">
      <c r="A89" s="263" t="s">
        <v>434</v>
      </c>
      <c r="B89" s="264"/>
    </row>
    <row r="90" spans="1:20" ht="12" customHeight="1" x14ac:dyDescent="0.25">
      <c r="A90" s="268" t="s">
        <v>435</v>
      </c>
      <c r="B90" s="207"/>
    </row>
    <row r="91" spans="1:20" ht="12" customHeight="1" x14ac:dyDescent="0.25">
      <c r="A91" s="268" t="s">
        <v>436</v>
      </c>
      <c r="B91" s="207">
        <f>-B48</f>
        <v>5943416</v>
      </c>
    </row>
    <row r="92" spans="1:20" ht="12" customHeight="1" x14ac:dyDescent="0.25">
      <c r="A92" s="270" t="s">
        <v>426</v>
      </c>
      <c r="B92" s="227">
        <f>+L13+L25-B91</f>
        <v>0</v>
      </c>
    </row>
    <row r="93" spans="1:20" ht="12" customHeight="1" x14ac:dyDescent="0.25">
      <c r="A93" s="274" t="s">
        <v>422</v>
      </c>
      <c r="B93" s="227">
        <f>SUM(B90:B92)</f>
        <v>5943416</v>
      </c>
    </row>
    <row r="94" spans="1:20" ht="12" customHeight="1" x14ac:dyDescent="0.25">
      <c r="B94" s="285">
        <f>+B93-L13-L25</f>
        <v>0</v>
      </c>
    </row>
    <row r="95" spans="1:20" ht="12" customHeight="1" x14ac:dyDescent="0.25"/>
    <row r="96" spans="1:20"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L179"/>
  <sheetViews>
    <sheetView topLeftCell="A133" zoomScaleNormal="100" workbookViewId="0">
      <selection activeCell="F172" sqref="F172"/>
    </sheetView>
  </sheetViews>
  <sheetFormatPr defaultColWidth="11.42578125" defaultRowHeight="15" outlineLevelRow="1" x14ac:dyDescent="0.25"/>
  <cols>
    <col min="1" max="1" width="2.85546875" customWidth="1"/>
    <col min="2" max="4" width="11.42578125" style="37"/>
    <col min="5" max="5" width="12.140625" style="37" customWidth="1"/>
    <col min="6" max="6" width="12.7109375" style="4" customWidth="1"/>
    <col min="7" max="7" width="12.7109375" style="4" bestFit="1" customWidth="1"/>
    <col min="8" max="8" width="12.5703125" bestFit="1" customWidth="1"/>
    <col min="9" max="9" width="13.42578125" bestFit="1" customWidth="1"/>
    <col min="10" max="10" width="13.140625" customWidth="1"/>
    <col min="11" max="12" width="12.28515625" bestFit="1" customWidth="1"/>
  </cols>
  <sheetData>
    <row r="1" spans="1:10" x14ac:dyDescent="0.25">
      <c r="A1" s="2" t="s">
        <v>0</v>
      </c>
    </row>
    <row r="2" spans="1:10" x14ac:dyDescent="0.25">
      <c r="A2" s="1" t="s">
        <v>146</v>
      </c>
    </row>
    <row r="3" spans="1:10" x14ac:dyDescent="0.25">
      <c r="A3" s="1" t="s">
        <v>361</v>
      </c>
    </row>
    <row r="4" spans="1:10" x14ac:dyDescent="0.25">
      <c r="A4" s="3" t="s">
        <v>17</v>
      </c>
      <c r="F4" s="22"/>
      <c r="G4" s="22"/>
      <c r="H4" s="14"/>
      <c r="I4" s="14"/>
      <c r="J4" s="14"/>
    </row>
    <row r="5" spans="1:10" x14ac:dyDescent="0.25">
      <c r="F5" s="19"/>
      <c r="G5" s="19"/>
      <c r="H5" s="15"/>
      <c r="I5" s="16" t="s">
        <v>50</v>
      </c>
      <c r="J5" s="16"/>
    </row>
    <row r="6" spans="1:10" x14ac:dyDescent="0.25">
      <c r="F6" s="23" t="s">
        <v>14</v>
      </c>
      <c r="G6" s="23" t="s">
        <v>15</v>
      </c>
      <c r="H6" s="17" t="s">
        <v>16</v>
      </c>
      <c r="I6" s="18" t="s">
        <v>145</v>
      </c>
      <c r="J6" s="17" t="s">
        <v>144</v>
      </c>
    </row>
    <row r="7" spans="1:10" x14ac:dyDescent="0.25">
      <c r="B7" s="124" t="s">
        <v>73</v>
      </c>
      <c r="C7" s="125"/>
      <c r="D7" s="125"/>
      <c r="E7" s="125"/>
      <c r="F7" s="19"/>
      <c r="G7" s="19"/>
      <c r="H7" s="15"/>
      <c r="I7" s="15"/>
      <c r="J7" s="15"/>
    </row>
    <row r="8" spans="1:10" hidden="1" outlineLevel="1" x14ac:dyDescent="0.25">
      <c r="B8" s="24" t="s">
        <v>173</v>
      </c>
      <c r="C8" s="38"/>
      <c r="D8" s="38"/>
      <c r="E8" s="38"/>
      <c r="F8" s="19">
        <v>11061874</v>
      </c>
      <c r="G8" s="19">
        <v>4032283</v>
      </c>
      <c r="H8" s="19">
        <f>+F8+G8</f>
        <v>15094157</v>
      </c>
      <c r="I8" s="19"/>
      <c r="J8" s="19">
        <f>+H8+I8</f>
        <v>15094157</v>
      </c>
    </row>
    <row r="9" spans="1:10" hidden="1" outlineLevel="1" x14ac:dyDescent="0.25">
      <c r="B9" s="24" t="s">
        <v>234</v>
      </c>
      <c r="C9" s="38"/>
      <c r="D9" s="38"/>
      <c r="E9" s="38"/>
      <c r="F9" s="19">
        <f>+F8</f>
        <v>11061874</v>
      </c>
      <c r="G9" s="19">
        <f>+G8</f>
        <v>4032283</v>
      </c>
      <c r="H9" s="19">
        <f t="shared" ref="H9:H142" si="0">+F9+G9</f>
        <v>15094157</v>
      </c>
      <c r="I9" s="19"/>
      <c r="J9" s="19">
        <f t="shared" ref="J9:J15" si="1">+H9+I9</f>
        <v>15094157</v>
      </c>
    </row>
    <row r="10" spans="1:10" hidden="1" outlineLevel="1" x14ac:dyDescent="0.25">
      <c r="B10" s="24" t="s">
        <v>136</v>
      </c>
      <c r="C10" s="38"/>
      <c r="D10" s="38"/>
      <c r="E10" s="38"/>
      <c r="F10" s="19"/>
      <c r="G10" s="19">
        <v>1228319</v>
      </c>
      <c r="H10" s="19">
        <f t="shared" si="0"/>
        <v>1228319</v>
      </c>
      <c r="I10" s="19"/>
      <c r="J10" s="19">
        <f t="shared" si="1"/>
        <v>1228319</v>
      </c>
    </row>
    <row r="11" spans="1:10" hidden="1" outlineLevel="1" x14ac:dyDescent="0.25">
      <c r="B11" s="24" t="s">
        <v>75</v>
      </c>
      <c r="C11" s="38"/>
      <c r="D11" s="38"/>
      <c r="E11" s="38"/>
      <c r="F11" s="19">
        <v>7077000</v>
      </c>
      <c r="G11" s="19"/>
      <c r="H11" s="19">
        <f t="shared" si="0"/>
        <v>7077000</v>
      </c>
      <c r="I11" s="19"/>
      <c r="J11" s="19">
        <f t="shared" si="1"/>
        <v>7077000</v>
      </c>
    </row>
    <row r="12" spans="1:10" hidden="1" outlineLevel="1" x14ac:dyDescent="0.25">
      <c r="B12" s="24" t="s">
        <v>76</v>
      </c>
      <c r="C12" s="38"/>
      <c r="D12" s="38"/>
      <c r="E12" s="38"/>
      <c r="F12" s="19">
        <v>5470478</v>
      </c>
      <c r="G12" s="19"/>
      <c r="H12" s="19">
        <f t="shared" si="0"/>
        <v>5470478</v>
      </c>
      <c r="I12" s="19"/>
      <c r="J12" s="19">
        <f t="shared" si="1"/>
        <v>5470478</v>
      </c>
    </row>
    <row r="13" spans="1:10" hidden="1" outlineLevel="1" x14ac:dyDescent="0.25">
      <c r="B13" s="24" t="s">
        <v>77</v>
      </c>
      <c r="C13" s="38"/>
      <c r="D13" s="38"/>
      <c r="E13" s="38"/>
      <c r="F13" s="19">
        <v>270000</v>
      </c>
      <c r="G13" s="19"/>
      <c r="H13" s="19">
        <f t="shared" si="0"/>
        <v>270000</v>
      </c>
      <c r="I13" s="19"/>
      <c r="J13" s="19">
        <f t="shared" si="1"/>
        <v>270000</v>
      </c>
    </row>
    <row r="14" spans="1:10" hidden="1" outlineLevel="1" x14ac:dyDescent="0.25">
      <c r="B14" s="24" t="s">
        <v>265</v>
      </c>
      <c r="C14" s="38"/>
      <c r="D14" s="38"/>
      <c r="E14" s="38"/>
      <c r="F14" s="19">
        <v>23879352</v>
      </c>
      <c r="G14" s="19">
        <f>+G9+G10</f>
        <v>5260602</v>
      </c>
      <c r="H14" s="19">
        <f t="shared" si="0"/>
        <v>29139954</v>
      </c>
      <c r="I14" s="19"/>
      <c r="J14" s="19">
        <f t="shared" si="1"/>
        <v>29139954</v>
      </c>
    </row>
    <row r="15" spans="1:10" hidden="1" outlineLevel="1" x14ac:dyDescent="0.25">
      <c r="B15" s="24" t="s">
        <v>187</v>
      </c>
      <c r="C15" s="38"/>
      <c r="D15" s="38"/>
      <c r="E15" s="38"/>
      <c r="F15" s="25">
        <v>0</v>
      </c>
      <c r="G15" s="25">
        <v>2340607</v>
      </c>
      <c r="H15" s="25">
        <f t="shared" si="0"/>
        <v>2340607</v>
      </c>
      <c r="I15" s="25"/>
      <c r="J15" s="25">
        <f t="shared" si="1"/>
        <v>2340607</v>
      </c>
    </row>
    <row r="16" spans="1:10" hidden="1" collapsed="1" x14ac:dyDescent="0.25">
      <c r="B16" s="24" t="s">
        <v>299</v>
      </c>
      <c r="C16" s="38"/>
      <c r="D16" s="38"/>
      <c r="E16" s="38"/>
      <c r="F16" s="22">
        <f>+F14+F15</f>
        <v>23879352</v>
      </c>
      <c r="G16" s="22">
        <f>+G14+G15</f>
        <v>7601209</v>
      </c>
      <c r="H16" s="22">
        <f>+H14+H15</f>
        <v>31480561</v>
      </c>
      <c r="I16" s="22">
        <f>+I14+I15</f>
        <v>0</v>
      </c>
      <c r="J16" s="22">
        <f>+J14+J15</f>
        <v>31480561</v>
      </c>
    </row>
    <row r="17" spans="2:10" hidden="1" x14ac:dyDescent="0.25">
      <c r="B17" s="24" t="s">
        <v>253</v>
      </c>
      <c r="C17" s="38"/>
      <c r="D17" s="38"/>
      <c r="E17" s="38"/>
      <c r="F17" s="19">
        <v>6127345</v>
      </c>
      <c r="G17" s="19">
        <v>0</v>
      </c>
      <c r="H17" s="19">
        <f>+F17+G17</f>
        <v>6127345</v>
      </c>
      <c r="I17" s="19"/>
      <c r="J17" s="19">
        <f>+H17+I17</f>
        <v>6127345</v>
      </c>
    </row>
    <row r="18" spans="2:10" hidden="1" x14ac:dyDescent="0.25">
      <c r="B18" s="24" t="s">
        <v>187</v>
      </c>
      <c r="C18" s="38"/>
      <c r="D18" s="38"/>
      <c r="E18" s="38"/>
      <c r="F18" s="25">
        <v>0</v>
      </c>
      <c r="G18" s="25">
        <v>3414354</v>
      </c>
      <c r="H18" s="19">
        <f>+F18+G18</f>
        <v>3414354</v>
      </c>
      <c r="I18" s="25"/>
      <c r="J18" s="19">
        <f>+H18+I18</f>
        <v>3414354</v>
      </c>
    </row>
    <row r="19" spans="2:10" x14ac:dyDescent="0.25">
      <c r="B19" s="24" t="s">
        <v>252</v>
      </c>
      <c r="C19" s="38"/>
      <c r="D19" s="38"/>
      <c r="E19" s="38"/>
      <c r="F19" s="45">
        <f>+F16+F17</f>
        <v>30006697</v>
      </c>
      <c r="G19" s="45">
        <f>+G16+G17+G18</f>
        <v>11015563</v>
      </c>
      <c r="H19" s="45">
        <f>+H16+H17+H18</f>
        <v>41022260</v>
      </c>
      <c r="I19" s="45"/>
      <c r="J19" s="45">
        <f>+J16+J17+J18</f>
        <v>41022260</v>
      </c>
    </row>
    <row r="20" spans="2:10" x14ac:dyDescent="0.25">
      <c r="B20" s="24" t="s">
        <v>187</v>
      </c>
      <c r="C20" s="38"/>
      <c r="D20" s="38"/>
      <c r="E20" s="38"/>
      <c r="F20" s="19">
        <v>5035990</v>
      </c>
      <c r="G20" s="19">
        <v>2143739</v>
      </c>
      <c r="H20" s="19">
        <f>+F20+G20</f>
        <v>7179729</v>
      </c>
      <c r="I20" s="19"/>
      <c r="J20" s="19">
        <f>+H20+I20</f>
        <v>7179729</v>
      </c>
    </row>
    <row r="21" spans="2:10" x14ac:dyDescent="0.25">
      <c r="B21" s="24" t="s">
        <v>298</v>
      </c>
      <c r="C21" s="38"/>
      <c r="D21" s="38"/>
      <c r="E21" s="38"/>
      <c r="F21" s="22">
        <f>SUM(F19:F20)</f>
        <v>35042687</v>
      </c>
      <c r="G21" s="22">
        <f>SUM(G19:G20)</f>
        <v>13159302</v>
      </c>
      <c r="H21" s="22">
        <f>SUM(H19:H20)</f>
        <v>48201989</v>
      </c>
      <c r="I21" s="22">
        <f>SUM(I19:I20)</f>
        <v>0</v>
      </c>
      <c r="J21" s="22">
        <f>SUM(J19:J20)</f>
        <v>48201989</v>
      </c>
    </row>
    <row r="22" spans="2:10" x14ac:dyDescent="0.25">
      <c r="B22" s="24" t="s">
        <v>349</v>
      </c>
      <c r="C22" s="38"/>
      <c r="D22" s="38"/>
      <c r="E22" s="38"/>
      <c r="F22" s="19">
        <v>8215675</v>
      </c>
      <c r="G22" s="19"/>
      <c r="H22" s="19">
        <f>+F22+G22</f>
        <v>8215675</v>
      </c>
      <c r="I22" s="19"/>
      <c r="J22" s="19">
        <f>+H22+I22</f>
        <v>8215675</v>
      </c>
    </row>
    <row r="23" spans="2:10" x14ac:dyDescent="0.25">
      <c r="B23" s="24" t="s">
        <v>350</v>
      </c>
      <c r="C23" s="38"/>
      <c r="D23" s="38"/>
      <c r="E23" s="38"/>
      <c r="F23" s="19">
        <v>-6115000</v>
      </c>
      <c r="G23" s="19"/>
      <c r="H23" s="19">
        <f>+F23+G23</f>
        <v>-6115000</v>
      </c>
      <c r="I23" s="19"/>
      <c r="J23" s="19">
        <f>+H23+I23</f>
        <v>-6115000</v>
      </c>
    </row>
    <row r="24" spans="2:10" ht="15.75" thickBot="1" x14ac:dyDescent="0.3">
      <c r="B24" s="24" t="s">
        <v>332</v>
      </c>
      <c r="C24" s="38"/>
      <c r="D24" s="38"/>
      <c r="E24" s="38"/>
      <c r="F24" s="98">
        <f>SUM(F21:F23)</f>
        <v>37143362</v>
      </c>
      <c r="G24" s="98">
        <f t="shared" ref="G24:J24" si="2">SUM(G21:G23)</f>
        <v>13159302</v>
      </c>
      <c r="H24" s="98">
        <f t="shared" si="2"/>
        <v>50302664</v>
      </c>
      <c r="I24" s="98">
        <f t="shared" si="2"/>
        <v>0</v>
      </c>
      <c r="J24" s="98">
        <f t="shared" si="2"/>
        <v>50302664</v>
      </c>
    </row>
    <row r="25" spans="2:10" ht="15.75" thickTop="1" x14ac:dyDescent="0.25">
      <c r="B25" s="24"/>
      <c r="C25" s="38"/>
      <c r="D25" s="38"/>
      <c r="E25" s="38"/>
      <c r="F25" s="19"/>
      <c r="G25" s="19"/>
      <c r="H25" s="19"/>
      <c r="I25" s="19"/>
      <c r="J25" s="19"/>
    </row>
    <row r="26" spans="2:10" x14ac:dyDescent="0.25">
      <c r="B26" s="40" t="s">
        <v>78</v>
      </c>
      <c r="C26" s="38"/>
      <c r="D26" s="38"/>
      <c r="E26" s="38"/>
      <c r="F26" s="19"/>
      <c r="G26" s="19"/>
      <c r="H26" s="19"/>
      <c r="I26" s="19"/>
      <c r="J26" s="19"/>
    </row>
    <row r="27" spans="2:10" hidden="1" outlineLevel="1" x14ac:dyDescent="0.25">
      <c r="B27" s="24" t="s">
        <v>74</v>
      </c>
      <c r="C27" s="38"/>
      <c r="D27" s="38"/>
      <c r="E27" s="38"/>
      <c r="F27" s="36">
        <v>9572420</v>
      </c>
      <c r="G27" s="36"/>
      <c r="H27" s="36">
        <f t="shared" si="0"/>
        <v>9572420</v>
      </c>
      <c r="I27" s="36"/>
      <c r="J27" s="36">
        <f t="shared" ref="J27:J32" si="3">+H27+I27</f>
        <v>9572420</v>
      </c>
    </row>
    <row r="28" spans="2:10" hidden="1" outlineLevel="1" x14ac:dyDescent="0.25">
      <c r="B28" s="24" t="s">
        <v>140</v>
      </c>
      <c r="C28" s="38"/>
      <c r="D28" s="38"/>
      <c r="E28" s="38"/>
      <c r="F28" s="36">
        <v>1304919</v>
      </c>
      <c r="G28" s="36"/>
      <c r="H28" s="36">
        <f t="shared" si="0"/>
        <v>1304919</v>
      </c>
      <c r="I28" s="36"/>
      <c r="J28" s="36">
        <f t="shared" si="3"/>
        <v>1304919</v>
      </c>
    </row>
    <row r="29" spans="2:10" hidden="1" outlineLevel="1" x14ac:dyDescent="0.25">
      <c r="B29" s="24" t="s">
        <v>234</v>
      </c>
      <c r="C29" s="38"/>
      <c r="D29" s="38"/>
      <c r="E29" s="38"/>
      <c r="F29" s="36">
        <f>+F27+F28</f>
        <v>10877339</v>
      </c>
      <c r="G29" s="36"/>
      <c r="H29" s="36">
        <f t="shared" si="0"/>
        <v>10877339</v>
      </c>
      <c r="I29" s="36"/>
      <c r="J29" s="36">
        <f t="shared" si="3"/>
        <v>10877339</v>
      </c>
    </row>
    <row r="30" spans="2:10" hidden="1" outlineLevel="1" x14ac:dyDescent="0.25">
      <c r="B30" s="24" t="s">
        <v>130</v>
      </c>
      <c r="C30" s="38"/>
      <c r="D30" s="38"/>
      <c r="E30" s="38"/>
      <c r="F30" s="36">
        <v>-3094403</v>
      </c>
      <c r="G30" s="36"/>
      <c r="H30" s="36">
        <f t="shared" si="0"/>
        <v>-3094403</v>
      </c>
      <c r="I30" s="43"/>
      <c r="J30" s="36">
        <f t="shared" si="3"/>
        <v>-3094403</v>
      </c>
    </row>
    <row r="31" spans="2:10" hidden="1" outlineLevel="1" x14ac:dyDescent="0.25">
      <c r="B31" s="24" t="s">
        <v>75</v>
      </c>
      <c r="C31" s="38"/>
      <c r="D31" s="38"/>
      <c r="E31" s="38"/>
      <c r="F31" s="36">
        <v>-7077000</v>
      </c>
      <c r="G31" s="36"/>
      <c r="H31" s="36">
        <f t="shared" si="0"/>
        <v>-7077000</v>
      </c>
      <c r="I31" s="43"/>
      <c r="J31" s="36">
        <f t="shared" si="3"/>
        <v>-7077000</v>
      </c>
    </row>
    <row r="32" spans="2:10" hidden="1" outlineLevel="1" x14ac:dyDescent="0.25">
      <c r="B32" s="24" t="s">
        <v>265</v>
      </c>
      <c r="C32" s="38"/>
      <c r="D32" s="38"/>
      <c r="E32" s="38"/>
      <c r="F32" s="49">
        <f>SUM(F29:F31)</f>
        <v>705936</v>
      </c>
      <c r="G32" s="49">
        <v>0</v>
      </c>
      <c r="H32" s="49">
        <f t="shared" si="0"/>
        <v>705936</v>
      </c>
      <c r="I32" s="67"/>
      <c r="J32" s="49">
        <f t="shared" si="3"/>
        <v>705936</v>
      </c>
    </row>
    <row r="33" spans="2:10" hidden="1" collapsed="1" x14ac:dyDescent="0.25">
      <c r="B33" s="24" t="s">
        <v>299</v>
      </c>
      <c r="C33" s="38"/>
      <c r="D33" s="38"/>
      <c r="E33" s="38"/>
      <c r="F33" s="45">
        <f>+F32</f>
        <v>705936</v>
      </c>
      <c r="G33" s="45">
        <v>0</v>
      </c>
      <c r="H33" s="45">
        <f>+F33+G33</f>
        <v>705936</v>
      </c>
      <c r="I33" s="69"/>
      <c r="J33" s="45">
        <f>+H33+I33</f>
        <v>705936</v>
      </c>
    </row>
    <row r="34" spans="2:10" ht="42.75" hidden="1" customHeight="1" x14ac:dyDescent="0.25">
      <c r="B34" s="302" t="s">
        <v>254</v>
      </c>
      <c r="C34" s="303"/>
      <c r="D34" s="303"/>
      <c r="E34" s="304"/>
      <c r="F34" s="49">
        <v>-705016</v>
      </c>
      <c r="G34" s="49">
        <v>0</v>
      </c>
      <c r="H34" s="49">
        <f t="shared" ref="H34:H35" si="4">+F34+G34</f>
        <v>-705016</v>
      </c>
      <c r="I34" s="67"/>
      <c r="J34" s="49">
        <f t="shared" ref="J34:J35" si="5">+H34+I34</f>
        <v>-705016</v>
      </c>
    </row>
    <row r="35" spans="2:10" x14ac:dyDescent="0.25">
      <c r="B35" s="305" t="s">
        <v>252</v>
      </c>
      <c r="C35" s="306"/>
      <c r="D35" s="306"/>
      <c r="E35" s="307"/>
      <c r="F35" s="45">
        <f>+F33+F34</f>
        <v>920</v>
      </c>
      <c r="G35" s="45">
        <v>0</v>
      </c>
      <c r="H35" s="45">
        <f t="shared" si="4"/>
        <v>920</v>
      </c>
      <c r="I35" s="69"/>
      <c r="J35" s="45">
        <f t="shared" si="5"/>
        <v>920</v>
      </c>
    </row>
    <row r="36" spans="2:10" x14ac:dyDescent="0.25">
      <c r="B36" s="305" t="s">
        <v>298</v>
      </c>
      <c r="C36" s="306"/>
      <c r="D36" s="306"/>
      <c r="E36" s="307"/>
      <c r="F36" s="22">
        <f>SUM(F35:F35)</f>
        <v>920</v>
      </c>
      <c r="G36" s="22">
        <f>SUM(G35:G35)</f>
        <v>0</v>
      </c>
      <c r="H36" s="22">
        <f>SUM(H35:H35)</f>
        <v>920</v>
      </c>
      <c r="I36" s="22">
        <f>SUM(I35:I35)</f>
        <v>0</v>
      </c>
      <c r="J36" s="22">
        <f>SUM(J35:J35)</f>
        <v>920</v>
      </c>
    </row>
    <row r="37" spans="2:10" x14ac:dyDescent="0.25">
      <c r="B37" s="305" t="s">
        <v>351</v>
      </c>
      <c r="C37" s="306"/>
      <c r="D37" s="306"/>
      <c r="E37" s="307"/>
      <c r="F37" s="19">
        <v>6115000</v>
      </c>
      <c r="G37" s="19"/>
      <c r="H37" s="19">
        <f>+F37+G37</f>
        <v>6115000</v>
      </c>
      <c r="I37" s="19"/>
      <c r="J37" s="19">
        <f>+H37+I37</f>
        <v>6115000</v>
      </c>
    </row>
    <row r="38" spans="2:10" ht="15.75" thickBot="1" x14ac:dyDescent="0.3">
      <c r="B38" s="24" t="s">
        <v>332</v>
      </c>
      <c r="C38" s="38"/>
      <c r="D38" s="38"/>
      <c r="E38" s="38"/>
      <c r="F38" s="98">
        <f>+F36+F37</f>
        <v>6115920</v>
      </c>
      <c r="G38" s="98">
        <f t="shared" ref="G38:J38" si="6">+G36+G37</f>
        <v>0</v>
      </c>
      <c r="H38" s="98">
        <f t="shared" si="6"/>
        <v>6115920</v>
      </c>
      <c r="I38" s="98">
        <f t="shared" si="6"/>
        <v>0</v>
      </c>
      <c r="J38" s="98">
        <f t="shared" si="6"/>
        <v>6115920</v>
      </c>
    </row>
    <row r="39" spans="2:10" ht="15.75" thickTop="1" x14ac:dyDescent="0.25">
      <c r="B39" s="24"/>
      <c r="C39" s="38"/>
      <c r="D39" s="38"/>
      <c r="E39" s="38"/>
      <c r="F39" s="19"/>
      <c r="G39" s="19"/>
      <c r="H39" s="19"/>
      <c r="I39" s="19"/>
      <c r="J39" s="19"/>
    </row>
    <row r="40" spans="2:10" x14ac:dyDescent="0.25">
      <c r="B40" s="40" t="s">
        <v>131</v>
      </c>
      <c r="C40" s="38"/>
      <c r="D40" s="38"/>
      <c r="E40" s="38"/>
      <c r="F40" s="36"/>
      <c r="G40" s="36"/>
      <c r="H40" s="36"/>
      <c r="I40" s="43"/>
      <c r="J40" s="43"/>
    </row>
    <row r="41" spans="2:10" hidden="1" outlineLevel="1" x14ac:dyDescent="0.25">
      <c r="B41" s="24" t="s">
        <v>74</v>
      </c>
      <c r="C41" s="38"/>
      <c r="D41" s="38"/>
      <c r="E41" s="38"/>
      <c r="F41" s="36">
        <v>570206</v>
      </c>
      <c r="G41" s="36">
        <v>516352</v>
      </c>
      <c r="H41" s="36">
        <f t="shared" si="0"/>
        <v>1086558</v>
      </c>
      <c r="I41" s="43"/>
      <c r="J41" s="83">
        <f t="shared" ref="J41:J48" si="7">+H41+I41</f>
        <v>1086558</v>
      </c>
    </row>
    <row r="42" spans="2:10" hidden="1" outlineLevel="1" x14ac:dyDescent="0.25">
      <c r="B42" s="24" t="s">
        <v>135</v>
      </c>
      <c r="C42" s="38"/>
      <c r="D42" s="38"/>
      <c r="E42" s="38"/>
      <c r="F42" s="36">
        <v>359244</v>
      </c>
      <c r="G42" s="36"/>
      <c r="H42" s="36">
        <f t="shared" si="0"/>
        <v>359244</v>
      </c>
      <c r="I42" s="43"/>
      <c r="J42" s="36">
        <f t="shared" si="7"/>
        <v>359244</v>
      </c>
    </row>
    <row r="43" spans="2:10" hidden="1" outlineLevel="1" x14ac:dyDescent="0.25">
      <c r="B43" s="24" t="s">
        <v>234</v>
      </c>
      <c r="C43" s="38"/>
      <c r="D43" s="38"/>
      <c r="E43" s="38"/>
      <c r="F43" s="36">
        <f>+F42+F41</f>
        <v>929450</v>
      </c>
      <c r="G43" s="36">
        <f>+G41+G42</f>
        <v>516352</v>
      </c>
      <c r="H43" s="36">
        <f t="shared" si="0"/>
        <v>1445802</v>
      </c>
      <c r="I43" s="43"/>
      <c r="J43" s="36">
        <f t="shared" si="7"/>
        <v>1445802</v>
      </c>
    </row>
    <row r="44" spans="2:10" hidden="1" outlineLevel="1" x14ac:dyDescent="0.25">
      <c r="B44" s="24" t="s">
        <v>188</v>
      </c>
      <c r="C44" s="38"/>
      <c r="D44" s="38"/>
      <c r="E44" s="38"/>
      <c r="F44" s="36">
        <v>1710803</v>
      </c>
      <c r="G44" s="36">
        <v>136481</v>
      </c>
      <c r="H44" s="36">
        <f t="shared" si="0"/>
        <v>1847284</v>
      </c>
      <c r="I44" s="43"/>
      <c r="J44" s="36">
        <f t="shared" si="7"/>
        <v>1847284</v>
      </c>
    </row>
    <row r="45" spans="2:10" hidden="1" outlineLevel="1" x14ac:dyDescent="0.25">
      <c r="B45" s="24" t="s">
        <v>265</v>
      </c>
      <c r="C45" s="38"/>
      <c r="D45" s="38"/>
      <c r="E45" s="38"/>
      <c r="F45" s="36">
        <f>+F44+F43</f>
        <v>2640253</v>
      </c>
      <c r="G45" s="36">
        <f>+G44+G43</f>
        <v>652833</v>
      </c>
      <c r="H45" s="36">
        <f t="shared" si="0"/>
        <v>3293086</v>
      </c>
      <c r="I45" s="43"/>
      <c r="J45" s="36">
        <f t="shared" si="7"/>
        <v>3293086</v>
      </c>
    </row>
    <row r="46" spans="2:10" hidden="1" outlineLevel="1" x14ac:dyDescent="0.25">
      <c r="B46" s="24" t="s">
        <v>266</v>
      </c>
      <c r="C46" s="38"/>
      <c r="D46" s="38"/>
      <c r="E46" s="38"/>
      <c r="F46" s="45">
        <f>+F45</f>
        <v>2640253</v>
      </c>
      <c r="G46" s="45">
        <f t="shared" ref="G46:J46" si="8">+G45</f>
        <v>652833</v>
      </c>
      <c r="H46" s="45">
        <f t="shared" si="8"/>
        <v>3293086</v>
      </c>
      <c r="I46" s="45">
        <f t="shared" si="8"/>
        <v>0</v>
      </c>
      <c r="J46" s="45">
        <f t="shared" si="8"/>
        <v>3293086</v>
      </c>
    </row>
    <row r="47" spans="2:10" hidden="1" outlineLevel="1" x14ac:dyDescent="0.25">
      <c r="B47" s="24" t="s">
        <v>188</v>
      </c>
      <c r="C47" s="38"/>
      <c r="D47" s="38"/>
      <c r="E47" s="38"/>
      <c r="F47" s="138">
        <v>1341885</v>
      </c>
      <c r="G47" s="138">
        <v>260067</v>
      </c>
      <c r="H47" s="36">
        <f t="shared" si="0"/>
        <v>1601952</v>
      </c>
      <c r="I47" s="43"/>
      <c r="J47" s="36">
        <f t="shared" si="7"/>
        <v>1601952</v>
      </c>
    </row>
    <row r="48" spans="2:10" hidden="1" outlineLevel="1" x14ac:dyDescent="0.25">
      <c r="B48" s="136" t="s">
        <v>309</v>
      </c>
      <c r="C48" s="38"/>
      <c r="D48" s="38"/>
      <c r="E48" s="38"/>
      <c r="F48" s="36"/>
      <c r="G48" s="137">
        <v>379372</v>
      </c>
      <c r="H48" s="36">
        <f t="shared" si="0"/>
        <v>379372</v>
      </c>
      <c r="I48" s="43"/>
      <c r="J48" s="36">
        <f t="shared" si="7"/>
        <v>379372</v>
      </c>
    </row>
    <row r="49" spans="2:11" hidden="1" collapsed="1" x14ac:dyDescent="0.25">
      <c r="B49" s="24" t="s">
        <v>196</v>
      </c>
      <c r="C49" s="38"/>
      <c r="D49" s="38"/>
      <c r="E49" s="38"/>
      <c r="F49" s="45">
        <f>+F45+F47</f>
        <v>3982138</v>
      </c>
      <c r="G49" s="45">
        <f>+G46+G47+G48</f>
        <v>1292272</v>
      </c>
      <c r="H49" s="45">
        <f>+H46+H47+H48</f>
        <v>5274410</v>
      </c>
      <c r="I49" s="45">
        <f>+I45+I47</f>
        <v>0</v>
      </c>
      <c r="J49" s="45">
        <f>+J46+J47+J48</f>
        <v>5274410</v>
      </c>
    </row>
    <row r="50" spans="2:11" hidden="1" x14ac:dyDescent="0.25">
      <c r="B50" s="24" t="s">
        <v>256</v>
      </c>
      <c r="C50" s="38"/>
      <c r="D50" s="38"/>
      <c r="E50" s="38"/>
      <c r="F50" s="36">
        <v>680816</v>
      </c>
      <c r="G50" s="36">
        <v>259368</v>
      </c>
      <c r="H50" s="36">
        <f>+F50+G50</f>
        <v>940184</v>
      </c>
      <c r="I50" s="36"/>
      <c r="J50" s="36">
        <f>+H50+I50</f>
        <v>940184</v>
      </c>
    </row>
    <row r="51" spans="2:11" x14ac:dyDescent="0.25">
      <c r="B51" s="24" t="s">
        <v>255</v>
      </c>
      <c r="C51" s="38"/>
      <c r="D51" s="38"/>
      <c r="E51" s="38"/>
      <c r="F51" s="45">
        <v>4662954</v>
      </c>
      <c r="G51" s="45">
        <f>+G49+G50</f>
        <v>1551640</v>
      </c>
      <c r="H51" s="45">
        <f>+H49+H50</f>
        <v>6214594</v>
      </c>
      <c r="I51" s="45"/>
      <c r="J51" s="45">
        <f>+J49+J50</f>
        <v>6214594</v>
      </c>
    </row>
    <row r="52" spans="2:11" x14ac:dyDescent="0.25">
      <c r="B52" s="24" t="s">
        <v>305</v>
      </c>
      <c r="C52" s="38"/>
      <c r="D52" s="38"/>
      <c r="E52" s="126"/>
      <c r="F52" s="36">
        <v>559555</v>
      </c>
      <c r="G52" s="36"/>
      <c r="H52" s="36">
        <f>+F52+G52</f>
        <v>559555</v>
      </c>
      <c r="I52" s="43"/>
      <c r="J52" s="83">
        <f>+H52+I52</f>
        <v>559555</v>
      </c>
    </row>
    <row r="53" spans="2:11" x14ac:dyDescent="0.25">
      <c r="B53" s="24" t="s">
        <v>298</v>
      </c>
      <c r="C53" s="38"/>
      <c r="D53" s="38"/>
      <c r="E53" s="38"/>
      <c r="F53" s="22">
        <f>SUM(F51:F52)</f>
        <v>5222509</v>
      </c>
      <c r="G53" s="22">
        <f>SUM(G51:G52)</f>
        <v>1551640</v>
      </c>
      <c r="H53" s="22">
        <f>SUM(H51:H52)</f>
        <v>6774149</v>
      </c>
      <c r="I53" s="22">
        <f>SUM(I51:I52)</f>
        <v>0</v>
      </c>
      <c r="J53" s="22">
        <f>SUM(J51:J52)</f>
        <v>6774149</v>
      </c>
      <c r="K53" s="35"/>
    </row>
    <row r="54" spans="2:11" x14ac:dyDescent="0.25">
      <c r="B54" s="24" t="s">
        <v>188</v>
      </c>
      <c r="C54" s="38"/>
      <c r="D54" s="38"/>
      <c r="E54" s="38"/>
      <c r="F54" s="19">
        <v>912853</v>
      </c>
      <c r="G54" s="19">
        <v>374781</v>
      </c>
      <c r="H54" s="19">
        <f>+F54+G54</f>
        <v>1287634</v>
      </c>
      <c r="I54" s="19"/>
      <c r="J54" s="19">
        <f>+H54+I54</f>
        <v>1287634</v>
      </c>
      <c r="K54" s="35"/>
    </row>
    <row r="55" spans="2:11" ht="15.75" thickBot="1" x14ac:dyDescent="0.3">
      <c r="B55" s="24" t="s">
        <v>332</v>
      </c>
      <c r="C55" s="38"/>
      <c r="D55" s="38"/>
      <c r="E55" s="38"/>
      <c r="F55" s="98">
        <f>+F53+F54</f>
        <v>6135362</v>
      </c>
      <c r="G55" s="98">
        <f>+G53+G54</f>
        <v>1926421</v>
      </c>
      <c r="H55" s="98">
        <f t="shared" ref="H55:J55" si="9">+H53+H54</f>
        <v>8061783</v>
      </c>
      <c r="I55" s="98">
        <f t="shared" si="9"/>
        <v>0</v>
      </c>
      <c r="J55" s="98">
        <f t="shared" si="9"/>
        <v>8061783</v>
      </c>
      <c r="K55" s="35"/>
    </row>
    <row r="56" spans="2:11" ht="15.75" thickTop="1" x14ac:dyDescent="0.25">
      <c r="B56" s="24"/>
      <c r="C56" s="38"/>
      <c r="D56" s="38"/>
      <c r="E56" s="126"/>
      <c r="F56" s="36"/>
      <c r="G56" s="36"/>
      <c r="H56" s="36"/>
      <c r="I56" s="43"/>
      <c r="J56" s="43"/>
    </row>
    <row r="57" spans="2:11" x14ac:dyDescent="0.25">
      <c r="B57" s="40" t="s">
        <v>132</v>
      </c>
      <c r="C57" s="38"/>
      <c r="D57" s="38"/>
      <c r="E57" s="38"/>
      <c r="F57" s="36"/>
      <c r="G57" s="36"/>
      <c r="H57" s="36">
        <f t="shared" si="0"/>
        <v>0</v>
      </c>
      <c r="I57" s="43"/>
      <c r="J57" s="43"/>
    </row>
    <row r="58" spans="2:11" hidden="1" outlineLevel="1" x14ac:dyDescent="0.25">
      <c r="B58" s="24" t="s">
        <v>263</v>
      </c>
      <c r="C58" s="38"/>
      <c r="D58" s="38"/>
      <c r="E58" s="38"/>
      <c r="F58" s="49">
        <v>34797</v>
      </c>
      <c r="G58" s="49">
        <v>14436</v>
      </c>
      <c r="H58" s="49">
        <f t="shared" si="0"/>
        <v>49233</v>
      </c>
      <c r="I58" s="67"/>
      <c r="J58" s="49">
        <f t="shared" ref="J58:J63" si="10">+H58+I58</f>
        <v>49233</v>
      </c>
    </row>
    <row r="59" spans="2:11" hidden="1" outlineLevel="1" x14ac:dyDescent="0.25">
      <c r="B59" s="24" t="s">
        <v>264</v>
      </c>
      <c r="C59" s="38"/>
      <c r="D59" s="38"/>
      <c r="E59" s="38"/>
      <c r="F59" s="44">
        <f t="shared" ref="F59:G62" si="11">+F58</f>
        <v>34797</v>
      </c>
      <c r="G59" s="44">
        <f t="shared" si="11"/>
        <v>14436</v>
      </c>
      <c r="H59" s="44">
        <f t="shared" si="0"/>
        <v>49233</v>
      </c>
      <c r="I59" s="68"/>
      <c r="J59" s="44">
        <f t="shared" si="10"/>
        <v>49233</v>
      </c>
    </row>
    <row r="60" spans="2:11" hidden="1" collapsed="1" x14ac:dyDescent="0.25">
      <c r="B60" s="24" t="s">
        <v>196</v>
      </c>
      <c r="C60" s="38"/>
      <c r="D60" s="38"/>
      <c r="E60" s="38"/>
      <c r="F60" s="44">
        <f t="shared" si="11"/>
        <v>34797</v>
      </c>
      <c r="G60" s="44">
        <f t="shared" si="11"/>
        <v>14436</v>
      </c>
      <c r="H60" s="44">
        <f t="shared" si="0"/>
        <v>49233</v>
      </c>
      <c r="I60" s="68"/>
      <c r="J60" s="44">
        <f t="shared" si="10"/>
        <v>49233</v>
      </c>
    </row>
    <row r="61" spans="2:11" x14ac:dyDescent="0.25">
      <c r="B61" s="24" t="s">
        <v>252</v>
      </c>
      <c r="C61" s="38"/>
      <c r="D61" s="38"/>
      <c r="E61" s="38"/>
      <c r="F61" s="44">
        <f t="shared" si="11"/>
        <v>34797</v>
      </c>
      <c r="G61" s="44">
        <f t="shared" si="11"/>
        <v>14436</v>
      </c>
      <c r="H61" s="44">
        <f t="shared" si="0"/>
        <v>49233</v>
      </c>
      <c r="I61" s="68"/>
      <c r="J61" s="44">
        <f t="shared" si="10"/>
        <v>49233</v>
      </c>
    </row>
    <row r="62" spans="2:11" x14ac:dyDescent="0.25">
      <c r="B62" s="24" t="s">
        <v>298</v>
      </c>
      <c r="C62" s="38"/>
      <c r="D62" s="38"/>
      <c r="E62" s="38"/>
      <c r="F62" s="36">
        <f t="shared" si="11"/>
        <v>34797</v>
      </c>
      <c r="G62" s="36">
        <f t="shared" si="11"/>
        <v>14436</v>
      </c>
      <c r="H62" s="36">
        <f t="shared" ref="H62:H63" si="12">+F62+G62</f>
        <v>49233</v>
      </c>
      <c r="I62" s="43"/>
      <c r="J62" s="36">
        <f t="shared" si="10"/>
        <v>49233</v>
      </c>
    </row>
    <row r="63" spans="2:11" ht="15.75" thickBot="1" x14ac:dyDescent="0.3">
      <c r="B63" s="24" t="s">
        <v>332</v>
      </c>
      <c r="C63" s="38"/>
      <c r="D63" s="38"/>
      <c r="E63" s="38"/>
      <c r="F63" s="96">
        <f>+F62</f>
        <v>34797</v>
      </c>
      <c r="G63" s="96">
        <f>+G62</f>
        <v>14436</v>
      </c>
      <c r="H63" s="96">
        <f t="shared" si="12"/>
        <v>49233</v>
      </c>
      <c r="I63" s="97"/>
      <c r="J63" s="96">
        <f t="shared" si="10"/>
        <v>49233</v>
      </c>
    </row>
    <row r="64" spans="2:11" ht="15.75" thickTop="1" x14ac:dyDescent="0.25">
      <c r="B64" s="139" t="s">
        <v>310</v>
      </c>
      <c r="C64" s="142"/>
      <c r="D64" s="142"/>
      <c r="E64" s="142"/>
      <c r="F64" s="140">
        <f>+F55+F63</f>
        <v>6170159</v>
      </c>
      <c r="G64" s="140">
        <f t="shared" ref="G64:J64" si="13">+G55+G63</f>
        <v>1940857</v>
      </c>
      <c r="H64" s="140">
        <f t="shared" si="13"/>
        <v>8111016</v>
      </c>
      <c r="I64" s="140">
        <f t="shared" si="13"/>
        <v>0</v>
      </c>
      <c r="J64" s="140">
        <f t="shared" si="13"/>
        <v>8111016</v>
      </c>
    </row>
    <row r="65" spans="2:10" x14ac:dyDescent="0.25">
      <c r="B65" s="24"/>
      <c r="C65" s="38"/>
      <c r="D65" s="38"/>
      <c r="E65" s="38"/>
      <c r="F65" s="36"/>
      <c r="G65" s="36"/>
      <c r="H65" s="36">
        <f t="shared" si="0"/>
        <v>0</v>
      </c>
      <c r="I65" s="43"/>
      <c r="J65" s="43"/>
    </row>
    <row r="66" spans="2:10" x14ac:dyDescent="0.25">
      <c r="B66" s="40" t="s">
        <v>189</v>
      </c>
      <c r="C66" s="38"/>
      <c r="D66" s="38"/>
      <c r="E66" s="38"/>
      <c r="F66" s="36"/>
      <c r="G66" s="36"/>
      <c r="H66" s="36">
        <f t="shared" si="0"/>
        <v>0</v>
      </c>
      <c r="I66" s="43"/>
      <c r="J66" s="43"/>
    </row>
    <row r="67" spans="2:10" hidden="1" outlineLevel="1" x14ac:dyDescent="0.25">
      <c r="B67" s="24" t="s">
        <v>263</v>
      </c>
      <c r="C67" s="38"/>
      <c r="D67" s="38"/>
      <c r="E67" s="38"/>
      <c r="F67" s="49">
        <v>227072</v>
      </c>
      <c r="G67" s="49">
        <v>85174</v>
      </c>
      <c r="H67" s="49">
        <f t="shared" si="0"/>
        <v>312246</v>
      </c>
      <c r="I67" s="67"/>
      <c r="J67" s="49">
        <f t="shared" ref="J67:J72" si="14">+H67+I67</f>
        <v>312246</v>
      </c>
    </row>
    <row r="68" spans="2:10" hidden="1" outlineLevel="1" x14ac:dyDescent="0.25">
      <c r="B68" s="24" t="s">
        <v>264</v>
      </c>
      <c r="C68" s="38"/>
      <c r="D68" s="38"/>
      <c r="E68" s="38"/>
      <c r="F68" s="44">
        <f t="shared" ref="F68:G71" si="15">+F67</f>
        <v>227072</v>
      </c>
      <c r="G68" s="44">
        <f t="shared" si="15"/>
        <v>85174</v>
      </c>
      <c r="H68" s="44">
        <f t="shared" si="0"/>
        <v>312246</v>
      </c>
      <c r="I68" s="68"/>
      <c r="J68" s="44">
        <f t="shared" si="14"/>
        <v>312246</v>
      </c>
    </row>
    <row r="69" spans="2:10" hidden="1" collapsed="1" x14ac:dyDescent="0.25">
      <c r="B69" s="24" t="s">
        <v>196</v>
      </c>
      <c r="C69" s="38"/>
      <c r="D69" s="38"/>
      <c r="E69" s="38"/>
      <c r="F69" s="44">
        <f t="shared" si="15"/>
        <v>227072</v>
      </c>
      <c r="G69" s="44">
        <f t="shared" si="15"/>
        <v>85174</v>
      </c>
      <c r="H69" s="44">
        <f t="shared" si="0"/>
        <v>312246</v>
      </c>
      <c r="I69" s="68"/>
      <c r="J69" s="44">
        <f t="shared" si="14"/>
        <v>312246</v>
      </c>
    </row>
    <row r="70" spans="2:10" x14ac:dyDescent="0.25">
      <c r="B70" s="24" t="s">
        <v>255</v>
      </c>
      <c r="C70" s="38"/>
      <c r="D70" s="38"/>
      <c r="E70" s="38"/>
      <c r="F70" s="44">
        <f t="shared" si="15"/>
        <v>227072</v>
      </c>
      <c r="G70" s="44">
        <f t="shared" si="15"/>
        <v>85174</v>
      </c>
      <c r="H70" s="44">
        <f t="shared" si="0"/>
        <v>312246</v>
      </c>
      <c r="I70" s="68"/>
      <c r="J70" s="44">
        <f t="shared" si="14"/>
        <v>312246</v>
      </c>
    </row>
    <row r="71" spans="2:10" x14ac:dyDescent="0.25">
      <c r="B71" s="24" t="s">
        <v>300</v>
      </c>
      <c r="C71" s="38"/>
      <c r="D71" s="38"/>
      <c r="E71" s="38"/>
      <c r="F71" s="45">
        <f t="shared" si="15"/>
        <v>227072</v>
      </c>
      <c r="G71" s="45">
        <f t="shared" si="15"/>
        <v>85174</v>
      </c>
      <c r="H71" s="45">
        <f t="shared" ref="H71" si="16">+F71+G71</f>
        <v>312246</v>
      </c>
      <c r="I71" s="45"/>
      <c r="J71" s="45">
        <f t="shared" si="14"/>
        <v>312246</v>
      </c>
    </row>
    <row r="72" spans="2:10" ht="15.75" thickBot="1" x14ac:dyDescent="0.3">
      <c r="B72" s="24" t="s">
        <v>333</v>
      </c>
      <c r="C72" s="38"/>
      <c r="D72" s="38"/>
      <c r="E72" s="38"/>
      <c r="F72" s="96">
        <f>+F71</f>
        <v>227072</v>
      </c>
      <c r="G72" s="96">
        <f>+G71</f>
        <v>85174</v>
      </c>
      <c r="H72" s="96">
        <f>+F72+G72</f>
        <v>312246</v>
      </c>
      <c r="I72" s="96"/>
      <c r="J72" s="96">
        <f t="shared" si="14"/>
        <v>312246</v>
      </c>
    </row>
    <row r="73" spans="2:10" ht="15.75" thickTop="1" x14ac:dyDescent="0.25">
      <c r="B73" s="24"/>
      <c r="C73" s="38"/>
      <c r="D73" s="38"/>
      <c r="E73" s="38"/>
      <c r="F73" s="36"/>
      <c r="G73" s="36"/>
      <c r="H73" s="36"/>
      <c r="I73" s="43"/>
      <c r="J73" s="43"/>
    </row>
    <row r="74" spans="2:10" x14ac:dyDescent="0.25">
      <c r="B74" s="40" t="s">
        <v>227</v>
      </c>
      <c r="C74" s="38"/>
      <c r="D74" s="38"/>
      <c r="E74" s="38"/>
      <c r="F74" s="36"/>
      <c r="G74" s="36"/>
      <c r="H74" s="36">
        <f t="shared" si="0"/>
        <v>0</v>
      </c>
      <c r="I74" s="43"/>
      <c r="J74" s="43"/>
    </row>
    <row r="75" spans="2:10" hidden="1" outlineLevel="1" x14ac:dyDescent="0.25">
      <c r="B75" s="24" t="s">
        <v>173</v>
      </c>
      <c r="C75" s="38"/>
      <c r="D75" s="38"/>
      <c r="E75" s="38"/>
      <c r="F75" s="49">
        <v>-3202431</v>
      </c>
      <c r="G75" s="49">
        <v>-24915</v>
      </c>
      <c r="H75" s="49">
        <f t="shared" si="0"/>
        <v>-3227346</v>
      </c>
      <c r="I75" s="67"/>
      <c r="J75" s="49">
        <f>+H75+I75</f>
        <v>-3227346</v>
      </c>
    </row>
    <row r="76" spans="2:10" hidden="1" outlineLevel="1" x14ac:dyDescent="0.25">
      <c r="B76" s="24" t="s">
        <v>174</v>
      </c>
      <c r="C76" s="38"/>
      <c r="D76" s="38"/>
      <c r="E76" s="38"/>
      <c r="F76" s="44">
        <f t="shared" ref="F76:G79" si="17">+F75</f>
        <v>-3202431</v>
      </c>
      <c r="G76" s="44">
        <f t="shared" si="17"/>
        <v>-24915</v>
      </c>
      <c r="H76" s="44">
        <f t="shared" si="0"/>
        <v>-3227346</v>
      </c>
      <c r="I76" s="68"/>
      <c r="J76" s="44">
        <f>+H76+I76</f>
        <v>-3227346</v>
      </c>
    </row>
    <row r="77" spans="2:10" hidden="1" collapsed="1" x14ac:dyDescent="0.25">
      <c r="B77" s="24" t="s">
        <v>196</v>
      </c>
      <c r="C77" s="38"/>
      <c r="D77" s="38"/>
      <c r="E77" s="38"/>
      <c r="F77" s="44">
        <f t="shared" si="17"/>
        <v>-3202431</v>
      </c>
      <c r="G77" s="44">
        <f t="shared" si="17"/>
        <v>-24915</v>
      </c>
      <c r="H77" s="44">
        <f t="shared" si="0"/>
        <v>-3227346</v>
      </c>
      <c r="I77" s="68"/>
      <c r="J77" s="44">
        <f>+H77+I77</f>
        <v>-3227346</v>
      </c>
    </row>
    <row r="78" spans="2:10" x14ac:dyDescent="0.25">
      <c r="B78" s="24" t="s">
        <v>255</v>
      </c>
      <c r="C78" s="38"/>
      <c r="D78" s="38"/>
      <c r="E78" s="38"/>
      <c r="F78" s="45">
        <f t="shared" si="17"/>
        <v>-3202431</v>
      </c>
      <c r="G78" s="45">
        <f t="shared" si="17"/>
        <v>-24915</v>
      </c>
      <c r="H78" s="44">
        <f t="shared" si="0"/>
        <v>-3227346</v>
      </c>
      <c r="I78" s="69"/>
      <c r="J78" s="44">
        <f>+H78+I78</f>
        <v>-3227346</v>
      </c>
    </row>
    <row r="79" spans="2:10" x14ac:dyDescent="0.25">
      <c r="B79" s="24" t="s">
        <v>300</v>
      </c>
      <c r="C79" s="38"/>
      <c r="D79" s="38"/>
      <c r="E79" s="38"/>
      <c r="F79" s="44">
        <f t="shared" si="17"/>
        <v>-3202431</v>
      </c>
      <c r="G79" s="44">
        <f t="shared" si="17"/>
        <v>-24915</v>
      </c>
      <c r="H79" s="44">
        <f t="shared" ref="H79" si="18">+F79+G79</f>
        <v>-3227346</v>
      </c>
      <c r="I79" s="68"/>
      <c r="J79" s="44">
        <f>+H79+I79</f>
        <v>-3227346</v>
      </c>
    </row>
    <row r="80" spans="2:10" ht="15.75" thickBot="1" x14ac:dyDescent="0.3">
      <c r="B80" s="24" t="s">
        <v>333</v>
      </c>
      <c r="C80" s="38"/>
      <c r="D80" s="38"/>
      <c r="E80" s="38"/>
      <c r="F80" s="96">
        <f>+F79</f>
        <v>-3202431</v>
      </c>
      <c r="G80" s="96">
        <f>+G79</f>
        <v>-24915</v>
      </c>
      <c r="H80" s="96">
        <f t="shared" ref="H80:J80" si="19">+H79</f>
        <v>-3227346</v>
      </c>
      <c r="I80" s="96">
        <f t="shared" si="19"/>
        <v>0</v>
      </c>
      <c r="J80" s="96">
        <f t="shared" si="19"/>
        <v>-3227346</v>
      </c>
    </row>
    <row r="81" spans="2:10" ht="15.75" thickTop="1" x14ac:dyDescent="0.25">
      <c r="B81" s="24"/>
      <c r="C81" s="38"/>
      <c r="D81" s="38"/>
      <c r="E81" s="38"/>
      <c r="F81" s="36"/>
      <c r="G81" s="36"/>
      <c r="H81" s="36">
        <f t="shared" si="0"/>
        <v>0</v>
      </c>
      <c r="I81" s="43"/>
      <c r="J81" s="43"/>
    </row>
    <row r="82" spans="2:10" x14ac:dyDescent="0.25">
      <c r="B82" s="40" t="s">
        <v>137</v>
      </c>
      <c r="C82" s="38"/>
      <c r="D82" s="38"/>
      <c r="E82" s="38"/>
      <c r="F82" s="36"/>
      <c r="G82" s="36"/>
      <c r="H82" s="36">
        <f t="shared" si="0"/>
        <v>0</v>
      </c>
      <c r="I82" s="43"/>
      <c r="J82" s="43"/>
    </row>
    <row r="83" spans="2:10" hidden="1" outlineLevel="1" x14ac:dyDescent="0.25">
      <c r="B83" s="24" t="s">
        <v>173</v>
      </c>
      <c r="C83" s="38"/>
      <c r="D83" s="38"/>
      <c r="E83" s="38"/>
      <c r="F83" s="36"/>
      <c r="G83" s="19"/>
      <c r="H83" s="19"/>
      <c r="I83" s="15"/>
      <c r="J83" s="15"/>
    </row>
    <row r="84" spans="2:10" hidden="1" outlineLevel="1" x14ac:dyDescent="0.25">
      <c r="B84" s="24" t="s">
        <v>172</v>
      </c>
      <c r="C84" s="38"/>
      <c r="D84" s="38"/>
      <c r="E84" s="38"/>
      <c r="F84" s="36"/>
      <c r="G84" s="19">
        <v>-164317</v>
      </c>
      <c r="H84" s="19">
        <f>F84+G84</f>
        <v>-164317</v>
      </c>
      <c r="I84" s="15"/>
      <c r="J84" s="15"/>
    </row>
    <row r="85" spans="2:10" hidden="1" outlineLevel="1" x14ac:dyDescent="0.25">
      <c r="B85" s="127" t="s">
        <v>171</v>
      </c>
      <c r="C85" s="38"/>
      <c r="D85" s="38"/>
      <c r="E85" s="38"/>
      <c r="F85" s="36">
        <v>0</v>
      </c>
      <c r="G85" s="36">
        <v>-164317</v>
      </c>
      <c r="H85" s="36">
        <f>F85+G85</f>
        <v>-164317</v>
      </c>
      <c r="I85" s="43"/>
      <c r="J85" s="36">
        <f t="shared" ref="J85:J91" si="20">+H85+I85</f>
        <v>-164317</v>
      </c>
    </row>
    <row r="86" spans="2:10" hidden="1" outlineLevel="1" x14ac:dyDescent="0.25">
      <c r="B86" s="24" t="s">
        <v>175</v>
      </c>
      <c r="C86" s="38"/>
      <c r="D86" s="38"/>
      <c r="E86" s="38"/>
      <c r="F86" s="49">
        <v>0</v>
      </c>
      <c r="G86" s="49">
        <v>44500</v>
      </c>
      <c r="H86" s="49">
        <f t="shared" si="0"/>
        <v>44500</v>
      </c>
      <c r="I86" s="67"/>
      <c r="J86" s="49">
        <f t="shared" si="20"/>
        <v>44500</v>
      </c>
    </row>
    <row r="87" spans="2:10" hidden="1" outlineLevel="1" x14ac:dyDescent="0.25">
      <c r="B87" s="24" t="s">
        <v>263</v>
      </c>
      <c r="C87" s="38"/>
      <c r="D87" s="38"/>
      <c r="E87" s="38"/>
      <c r="F87" s="45">
        <v>0</v>
      </c>
      <c r="G87" s="45">
        <f>G85+G86</f>
        <v>-119817</v>
      </c>
      <c r="H87" s="45">
        <f t="shared" si="0"/>
        <v>-119817</v>
      </c>
      <c r="I87" s="69"/>
      <c r="J87" s="45">
        <f t="shared" si="20"/>
        <v>-119817</v>
      </c>
    </row>
    <row r="88" spans="2:10" hidden="1" outlineLevel="1" x14ac:dyDescent="0.25">
      <c r="B88" s="24" t="s">
        <v>175</v>
      </c>
      <c r="C88" s="38"/>
      <c r="D88" s="38"/>
      <c r="E88" s="38"/>
      <c r="F88" s="49">
        <v>0</v>
      </c>
      <c r="G88" s="49">
        <v>16673</v>
      </c>
      <c r="H88" s="49">
        <v>16673</v>
      </c>
      <c r="I88" s="67"/>
      <c r="J88" s="49">
        <f t="shared" si="20"/>
        <v>16673</v>
      </c>
    </row>
    <row r="89" spans="2:10" hidden="1" collapsed="1" x14ac:dyDescent="0.25">
      <c r="B89" s="24" t="s">
        <v>196</v>
      </c>
      <c r="C89" s="38"/>
      <c r="D89" s="38"/>
      <c r="E89" s="38"/>
      <c r="F89" s="146">
        <v>-495802</v>
      </c>
      <c r="G89" s="45">
        <f>G87+G88</f>
        <v>-103144</v>
      </c>
      <c r="H89" s="45">
        <f>+F89+G89</f>
        <v>-598946</v>
      </c>
      <c r="I89" s="69"/>
      <c r="J89" s="45">
        <f t="shared" si="20"/>
        <v>-598946</v>
      </c>
    </row>
    <row r="90" spans="2:10" hidden="1" x14ac:dyDescent="0.25">
      <c r="B90" s="24" t="s">
        <v>175</v>
      </c>
      <c r="C90" s="38"/>
      <c r="D90" s="38"/>
      <c r="E90" s="38"/>
      <c r="F90" s="144">
        <v>1849659</v>
      </c>
      <c r="G90" s="49">
        <v>-26254</v>
      </c>
      <c r="H90" s="49">
        <f t="shared" ref="H90:H93" si="21">+F90+G90</f>
        <v>1823405</v>
      </c>
      <c r="I90" s="67"/>
      <c r="J90" s="49">
        <f t="shared" si="20"/>
        <v>1823405</v>
      </c>
    </row>
    <row r="91" spans="2:10" x14ac:dyDescent="0.25">
      <c r="B91" s="24" t="s">
        <v>255</v>
      </c>
      <c r="C91" s="38"/>
      <c r="D91" s="38"/>
      <c r="E91" s="38"/>
      <c r="F91" s="146">
        <f>+F89+F90</f>
        <v>1353857</v>
      </c>
      <c r="G91" s="45">
        <f>+G89+G90</f>
        <v>-129398</v>
      </c>
      <c r="H91" s="45">
        <f t="shared" si="21"/>
        <v>1224459</v>
      </c>
      <c r="I91" s="69"/>
      <c r="J91" s="45">
        <f t="shared" si="20"/>
        <v>1224459</v>
      </c>
    </row>
    <row r="92" spans="2:10" x14ac:dyDescent="0.25">
      <c r="B92" s="24" t="s">
        <v>175</v>
      </c>
      <c r="C92" s="38"/>
      <c r="D92" s="38"/>
      <c r="E92" s="38"/>
      <c r="F92" s="144">
        <v>70086</v>
      </c>
      <c r="G92" s="49">
        <v>-16606</v>
      </c>
      <c r="H92" s="49">
        <f t="shared" si="21"/>
        <v>53480</v>
      </c>
      <c r="I92" s="67"/>
      <c r="J92" s="49">
        <f t="shared" ref="J92:J94" si="22">+H92+I92</f>
        <v>53480</v>
      </c>
    </row>
    <row r="93" spans="2:10" x14ac:dyDescent="0.25">
      <c r="B93" s="24" t="s">
        <v>300</v>
      </c>
      <c r="C93" s="38"/>
      <c r="D93" s="38"/>
      <c r="E93" s="38"/>
      <c r="F93" s="146">
        <f>+F91+F92</f>
        <v>1423943</v>
      </c>
      <c r="G93" s="45">
        <f>+G91+G92</f>
        <v>-146004</v>
      </c>
      <c r="H93" s="45">
        <f t="shared" si="21"/>
        <v>1277939</v>
      </c>
      <c r="I93" s="69"/>
      <c r="J93" s="45">
        <f t="shared" si="22"/>
        <v>1277939</v>
      </c>
    </row>
    <row r="94" spans="2:10" x14ac:dyDescent="0.25">
      <c r="B94" s="24" t="s">
        <v>175</v>
      </c>
      <c r="C94" s="38"/>
      <c r="D94" s="38"/>
      <c r="E94" s="38"/>
      <c r="F94" s="148">
        <f>+ER!D39</f>
        <v>-1099700</v>
      </c>
      <c r="G94" s="36">
        <f>+ER!E39</f>
        <v>-15737</v>
      </c>
      <c r="H94" s="36">
        <f>+F94+G94</f>
        <v>-1115437</v>
      </c>
      <c r="I94" s="43"/>
      <c r="J94" s="36">
        <f t="shared" si="22"/>
        <v>-1115437</v>
      </c>
    </row>
    <row r="95" spans="2:10" ht="15.75" thickBot="1" x14ac:dyDescent="0.3">
      <c r="B95" s="24" t="s">
        <v>333</v>
      </c>
      <c r="C95" s="38"/>
      <c r="D95" s="38"/>
      <c r="E95" s="38"/>
      <c r="F95" s="96">
        <f>+F93+F94</f>
        <v>324243</v>
      </c>
      <c r="G95" s="96">
        <f>+G93+G94</f>
        <v>-161741</v>
      </c>
      <c r="H95" s="96">
        <f t="shared" ref="H95:J95" si="23">+H93+H94</f>
        <v>162502</v>
      </c>
      <c r="I95" s="96">
        <f t="shared" si="23"/>
        <v>0</v>
      </c>
      <c r="J95" s="96">
        <f t="shared" si="23"/>
        <v>162502</v>
      </c>
    </row>
    <row r="96" spans="2:10" ht="15.75" thickTop="1" x14ac:dyDescent="0.25">
      <c r="B96" s="24"/>
      <c r="C96" s="38"/>
      <c r="D96" s="38"/>
      <c r="E96" s="38"/>
      <c r="F96" s="36"/>
      <c r="G96" s="36"/>
      <c r="H96" s="36"/>
      <c r="I96" s="43"/>
      <c r="J96" s="43"/>
    </row>
    <row r="97" spans="2:12" x14ac:dyDescent="0.25">
      <c r="B97" s="40" t="s">
        <v>133</v>
      </c>
      <c r="C97" s="38"/>
      <c r="D97" s="38"/>
      <c r="E97" s="38"/>
      <c r="F97" s="36"/>
      <c r="G97" s="36"/>
      <c r="H97" s="36">
        <f t="shared" si="0"/>
        <v>0</v>
      </c>
      <c r="I97" s="43"/>
      <c r="J97" s="43"/>
    </row>
    <row r="98" spans="2:12" hidden="1" outlineLevel="1" x14ac:dyDescent="0.25">
      <c r="B98" s="24" t="s">
        <v>173</v>
      </c>
      <c r="C98" s="38"/>
      <c r="D98" s="38"/>
      <c r="E98" s="38"/>
      <c r="F98" s="36">
        <v>21286279</v>
      </c>
      <c r="G98" s="19">
        <v>801209</v>
      </c>
      <c r="H98" s="19">
        <f t="shared" si="0"/>
        <v>22087488</v>
      </c>
      <c r="I98" s="19"/>
      <c r="J98" s="19">
        <f t="shared" ref="J98:J111" si="24">+H98+I98</f>
        <v>22087488</v>
      </c>
    </row>
    <row r="99" spans="2:12" hidden="1" outlineLevel="1" x14ac:dyDescent="0.25">
      <c r="B99" s="24" t="s">
        <v>134</v>
      </c>
      <c r="C99" s="38"/>
      <c r="D99" s="38"/>
      <c r="E99" s="38"/>
      <c r="F99" s="36">
        <v>-10113380</v>
      </c>
      <c r="G99" s="19"/>
      <c r="H99" s="19">
        <f t="shared" si="0"/>
        <v>-10113380</v>
      </c>
      <c r="I99" s="19"/>
      <c r="J99" s="19">
        <f t="shared" si="24"/>
        <v>-10113380</v>
      </c>
    </row>
    <row r="100" spans="2:12" hidden="1" outlineLevel="1" x14ac:dyDescent="0.25">
      <c r="B100" s="24" t="s">
        <v>190</v>
      </c>
      <c r="C100" s="38"/>
      <c r="D100" s="38"/>
      <c r="E100" s="38"/>
      <c r="F100" s="45">
        <f>+F98+F99</f>
        <v>11172899</v>
      </c>
      <c r="G100" s="45">
        <f>+G98+G99</f>
        <v>801209</v>
      </c>
      <c r="H100" s="45">
        <f>+H98+H99</f>
        <v>11974108</v>
      </c>
      <c r="I100" s="45">
        <f>+I98+I99</f>
        <v>0</v>
      </c>
      <c r="J100" s="45">
        <f>+J98+J99</f>
        <v>11974108</v>
      </c>
    </row>
    <row r="101" spans="2:12" hidden="1" outlineLevel="1" x14ac:dyDescent="0.25">
      <c r="B101" s="24" t="s">
        <v>186</v>
      </c>
      <c r="C101" s="38"/>
      <c r="D101" s="38"/>
      <c r="E101" s="38"/>
      <c r="F101" s="36">
        <v>-359244</v>
      </c>
      <c r="G101" s="36"/>
      <c r="H101" s="36">
        <f>+F101+G101</f>
        <v>-359244</v>
      </c>
      <c r="I101" s="43"/>
      <c r="J101" s="36">
        <f t="shared" si="24"/>
        <v>-359244</v>
      </c>
    </row>
    <row r="102" spans="2:12" hidden="1" outlineLevel="1" x14ac:dyDescent="0.25">
      <c r="B102" s="24" t="s">
        <v>57</v>
      </c>
      <c r="C102" s="38"/>
      <c r="D102" s="38"/>
      <c r="E102" s="38"/>
      <c r="F102" s="36">
        <v>24778671</v>
      </c>
      <c r="G102" s="36"/>
      <c r="H102" s="36">
        <f>+F102+G102</f>
        <v>24778671</v>
      </c>
      <c r="I102" s="36"/>
      <c r="J102" s="36">
        <f t="shared" si="24"/>
        <v>24778671</v>
      </c>
    </row>
    <row r="103" spans="2:12" hidden="1" outlineLevel="1" x14ac:dyDescent="0.25">
      <c r="B103" s="24" t="s">
        <v>173</v>
      </c>
      <c r="C103" s="38"/>
      <c r="D103" s="38"/>
      <c r="E103" s="38"/>
      <c r="F103" s="36">
        <f>SUM(F100:F102)</f>
        <v>35592326</v>
      </c>
      <c r="G103" s="36">
        <f>SUM(G100:G102)</f>
        <v>801209</v>
      </c>
      <c r="H103" s="36">
        <f>SUM(H100:H102)</f>
        <v>36393535</v>
      </c>
      <c r="I103" s="36" t="e">
        <f>-AD!O69</f>
        <v>#REF!</v>
      </c>
      <c r="J103" s="36" t="e">
        <f>+H103+I103</f>
        <v>#REF!</v>
      </c>
    </row>
    <row r="104" spans="2:12" hidden="1" outlineLevel="1" x14ac:dyDescent="0.25">
      <c r="B104" s="24" t="s">
        <v>176</v>
      </c>
      <c r="C104" s="38"/>
      <c r="D104" s="38"/>
      <c r="E104" s="38"/>
      <c r="F104" s="36">
        <v>0</v>
      </c>
      <c r="G104" s="36">
        <v>10139</v>
      </c>
      <c r="H104" s="36">
        <f>+F104+G104</f>
        <v>10139</v>
      </c>
      <c r="I104" s="43"/>
      <c r="J104" s="36">
        <f t="shared" si="24"/>
        <v>10139</v>
      </c>
    </row>
    <row r="105" spans="2:12" hidden="1" outlineLevel="1" x14ac:dyDescent="0.25">
      <c r="B105" s="24" t="s">
        <v>194</v>
      </c>
      <c r="C105" s="38"/>
      <c r="D105" s="38"/>
      <c r="E105" s="38"/>
      <c r="F105" s="49">
        <v>-5585599</v>
      </c>
      <c r="G105" s="49">
        <v>0</v>
      </c>
      <c r="H105" s="49">
        <f>+F105+G105</f>
        <v>-5585599</v>
      </c>
      <c r="I105" s="49"/>
      <c r="J105" s="49">
        <f t="shared" si="24"/>
        <v>-5585599</v>
      </c>
      <c r="K105" s="41"/>
    </row>
    <row r="106" spans="2:12" hidden="1" outlineLevel="1" x14ac:dyDescent="0.25">
      <c r="B106" s="24" t="s">
        <v>233</v>
      </c>
      <c r="C106" s="38"/>
      <c r="D106" s="38"/>
      <c r="E106" s="38"/>
      <c r="F106" s="36">
        <f>+F103+F105+F104</f>
        <v>30006727</v>
      </c>
      <c r="G106" s="36">
        <f>+G103+G105+G104</f>
        <v>811348</v>
      </c>
      <c r="H106" s="36">
        <f>+H103+H105+H104</f>
        <v>30818075</v>
      </c>
      <c r="I106" s="36" t="e">
        <f>+I103+I105+I104</f>
        <v>#REF!</v>
      </c>
      <c r="J106" s="36" t="e">
        <f>+J103+J105+J104</f>
        <v>#REF!</v>
      </c>
      <c r="K106" s="37"/>
    </row>
    <row r="107" spans="2:12" hidden="1" outlineLevel="1" x14ac:dyDescent="0.25">
      <c r="B107" s="24" t="s">
        <v>177</v>
      </c>
      <c r="C107" s="38"/>
      <c r="D107" s="38"/>
      <c r="E107" s="38"/>
      <c r="F107" s="36">
        <v>0</v>
      </c>
      <c r="G107" s="36">
        <v>-1228319</v>
      </c>
      <c r="H107" s="36">
        <f t="shared" ref="H107:H111" si="25">+F107+G107</f>
        <v>-1228319</v>
      </c>
      <c r="I107" s="43"/>
      <c r="J107" s="36">
        <f t="shared" si="24"/>
        <v>-1228319</v>
      </c>
      <c r="K107" s="37"/>
    </row>
    <row r="108" spans="2:12" hidden="1" outlineLevel="1" x14ac:dyDescent="0.25">
      <c r="B108" s="24" t="s">
        <v>76</v>
      </c>
      <c r="C108" s="38"/>
      <c r="D108" s="38"/>
      <c r="E108" s="38"/>
      <c r="F108" s="36">
        <v>-5470478</v>
      </c>
      <c r="G108" s="36">
        <v>0</v>
      </c>
      <c r="H108" s="36">
        <f t="shared" si="25"/>
        <v>-5470478</v>
      </c>
      <c r="I108" s="43"/>
      <c r="J108" s="36">
        <f t="shared" si="24"/>
        <v>-5470478</v>
      </c>
      <c r="K108" s="37"/>
    </row>
    <row r="109" spans="2:12" hidden="1" outlineLevel="1" x14ac:dyDescent="0.25">
      <c r="B109" s="24" t="s">
        <v>77</v>
      </c>
      <c r="C109" s="38"/>
      <c r="D109" s="38"/>
      <c r="E109" s="38"/>
      <c r="F109" s="36">
        <v>-270000</v>
      </c>
      <c r="G109" s="36">
        <v>0</v>
      </c>
      <c r="H109" s="36">
        <f t="shared" si="25"/>
        <v>-270000</v>
      </c>
      <c r="I109" s="43"/>
      <c r="J109" s="36">
        <f t="shared" si="24"/>
        <v>-270000</v>
      </c>
      <c r="K109" s="37"/>
    </row>
    <row r="110" spans="2:12" hidden="1" outlineLevel="1" x14ac:dyDescent="0.25">
      <c r="B110" s="24" t="str">
        <f>+B101</f>
        <v>Transferencia a Reserva Legal</v>
      </c>
      <c r="C110" s="38"/>
      <c r="D110" s="38"/>
      <c r="E110" s="38"/>
      <c r="F110" s="36">
        <f>-F44</f>
        <v>-1710803</v>
      </c>
      <c r="G110" s="36">
        <v>-136481</v>
      </c>
      <c r="H110" s="36">
        <f t="shared" si="25"/>
        <v>-1847284</v>
      </c>
      <c r="I110" s="43"/>
      <c r="J110" s="36">
        <f t="shared" si="24"/>
        <v>-1847284</v>
      </c>
      <c r="K110" s="37"/>
    </row>
    <row r="111" spans="2:12" hidden="1" outlineLevel="1" x14ac:dyDescent="0.25">
      <c r="B111" s="24" t="s">
        <v>198</v>
      </c>
      <c r="C111" s="38"/>
      <c r="D111" s="38"/>
      <c r="E111" s="38"/>
      <c r="F111" s="49">
        <v>13423797</v>
      </c>
      <c r="G111" s="49">
        <v>2558818</v>
      </c>
      <c r="H111" s="49">
        <f t="shared" si="25"/>
        <v>15982615</v>
      </c>
      <c r="I111" s="49" t="e">
        <f>-AD!M69+AD!O69</f>
        <v>#REF!</v>
      </c>
      <c r="J111" s="49" t="e">
        <f t="shared" si="24"/>
        <v>#REF!</v>
      </c>
      <c r="K111" s="41"/>
    </row>
    <row r="112" spans="2:12" hidden="1" outlineLevel="1" x14ac:dyDescent="0.25">
      <c r="B112" s="24" t="s">
        <v>174</v>
      </c>
      <c r="C112" s="38"/>
      <c r="D112" s="38"/>
      <c r="E112" s="38"/>
      <c r="F112" s="45">
        <v>35993633</v>
      </c>
      <c r="G112" s="45">
        <f>SUM(G106:G111)</f>
        <v>2005366</v>
      </c>
      <c r="H112" s="45">
        <f>SUM(H106:H111)</f>
        <v>37984609</v>
      </c>
      <c r="I112" s="45">
        <f>-AD!K17-AD!K45</f>
        <v>-16446314.003400002</v>
      </c>
      <c r="J112" s="45" t="e">
        <f>SUM(J106:J111)</f>
        <v>#REF!</v>
      </c>
      <c r="K112" s="41"/>
      <c r="L112" s="4"/>
    </row>
    <row r="113" spans="2:12" hidden="1" outlineLevel="1" x14ac:dyDescent="0.25">
      <c r="B113" s="24" t="s">
        <v>261</v>
      </c>
      <c r="C113" s="38"/>
      <c r="D113" s="38"/>
      <c r="E113" s="38"/>
      <c r="F113" s="36">
        <v>-2936828</v>
      </c>
      <c r="G113" s="36">
        <v>0</v>
      </c>
      <c r="H113" s="36">
        <f>+F113+G113</f>
        <v>-2936828</v>
      </c>
      <c r="I113" s="36"/>
      <c r="J113" s="36">
        <f>+H113+I113</f>
        <v>-2936828</v>
      </c>
      <c r="K113" s="41"/>
      <c r="L113" s="4"/>
    </row>
    <row r="114" spans="2:12" hidden="1" outlineLevel="1" x14ac:dyDescent="0.25">
      <c r="B114" s="24" t="s">
        <v>262</v>
      </c>
      <c r="C114" s="38"/>
      <c r="D114" s="38"/>
      <c r="E114" s="38"/>
      <c r="F114" s="45">
        <f>+F112+F113</f>
        <v>33056805</v>
      </c>
      <c r="G114" s="45">
        <f t="shared" ref="G114:J114" si="26">+G112+G113</f>
        <v>2005366</v>
      </c>
      <c r="H114" s="145">
        <f t="shared" si="26"/>
        <v>35047781</v>
      </c>
      <c r="I114" s="45">
        <f t="shared" si="26"/>
        <v>-16446314.003400002</v>
      </c>
      <c r="J114" s="45" t="e">
        <f t="shared" si="26"/>
        <v>#REF!</v>
      </c>
      <c r="K114" s="41"/>
      <c r="L114" s="4"/>
    </row>
    <row r="115" spans="2:12" hidden="1" outlineLevel="1" x14ac:dyDescent="0.25">
      <c r="B115" s="24" t="s">
        <v>197</v>
      </c>
      <c r="C115" s="38"/>
      <c r="D115" s="38"/>
      <c r="E115" s="38"/>
      <c r="F115" s="36">
        <v>0</v>
      </c>
      <c r="G115" s="36">
        <v>-2340607</v>
      </c>
      <c r="H115" s="36">
        <f>+F115+G115</f>
        <v>-2340607</v>
      </c>
      <c r="I115" s="43"/>
      <c r="J115" s="36">
        <f>+H115+I115</f>
        <v>-2340607</v>
      </c>
      <c r="L115" s="4"/>
    </row>
    <row r="116" spans="2:12" hidden="1" outlineLevel="1" x14ac:dyDescent="0.25">
      <c r="B116" s="24" t="s">
        <v>186</v>
      </c>
      <c r="C116" s="38"/>
      <c r="D116" s="38"/>
      <c r="E116" s="38"/>
      <c r="F116" s="36">
        <v>-1341885</v>
      </c>
      <c r="G116" s="36">
        <v>-260067</v>
      </c>
      <c r="H116" s="36">
        <f>+F116+G116</f>
        <v>-1601952</v>
      </c>
      <c r="I116" s="36"/>
      <c r="J116" s="36">
        <f>+H116+I116</f>
        <v>-1601952</v>
      </c>
      <c r="L116" s="4"/>
    </row>
    <row r="117" spans="2:12" hidden="1" outlineLevel="1" x14ac:dyDescent="0.25">
      <c r="B117" s="24" t="s">
        <v>57</v>
      </c>
      <c r="C117" s="38"/>
      <c r="D117" s="38"/>
      <c r="E117" s="38"/>
      <c r="F117" s="36">
        <v>6808164</v>
      </c>
      <c r="G117" s="36">
        <v>3793728</v>
      </c>
      <c r="H117" s="36">
        <f>+F117+G117</f>
        <v>10601892</v>
      </c>
      <c r="I117" s="36"/>
      <c r="J117" s="36">
        <f>+H117+I117</f>
        <v>10601892</v>
      </c>
      <c r="L117" s="4"/>
    </row>
    <row r="118" spans="2:12" hidden="1" collapsed="1" x14ac:dyDescent="0.25">
      <c r="B118" s="24" t="s">
        <v>196</v>
      </c>
      <c r="C118" s="38"/>
      <c r="D118" s="38"/>
      <c r="E118" s="38"/>
      <c r="F118" s="44">
        <f>SUM(F114:F117)</f>
        <v>38523084</v>
      </c>
      <c r="G118" s="44">
        <f>SUM(G114:G117)</f>
        <v>3198420</v>
      </c>
      <c r="H118" s="44">
        <f>+F118+G118</f>
        <v>41721504</v>
      </c>
      <c r="I118" s="44">
        <f>SUM(I114:I117)</f>
        <v>-16446314.003400002</v>
      </c>
      <c r="J118" s="44" t="e">
        <f>SUM(J114:J117)</f>
        <v>#REF!</v>
      </c>
      <c r="K118" s="35"/>
      <c r="L118" s="4"/>
    </row>
    <row r="119" spans="2:12" hidden="1" x14ac:dyDescent="0.25">
      <c r="B119" s="24" t="s">
        <v>257</v>
      </c>
      <c r="C119" s="38"/>
      <c r="D119" s="38"/>
      <c r="E119" s="38"/>
      <c r="F119" s="36">
        <v>-6127345</v>
      </c>
      <c r="G119" s="36"/>
      <c r="H119" s="36">
        <f>+F119+G119</f>
        <v>-6127345</v>
      </c>
      <c r="I119" s="36"/>
      <c r="J119" s="36">
        <f>+H119+I119</f>
        <v>-6127345</v>
      </c>
      <c r="K119" s="35"/>
      <c r="L119" s="4"/>
    </row>
    <row r="120" spans="2:12" hidden="1" x14ac:dyDescent="0.25">
      <c r="B120" s="24" t="s">
        <v>256</v>
      </c>
      <c r="C120" s="38"/>
      <c r="D120" s="38"/>
      <c r="E120" s="38"/>
      <c r="F120" s="36">
        <v>-680816</v>
      </c>
      <c r="G120" s="36">
        <f>-259368-379372</f>
        <v>-638740</v>
      </c>
      <c r="H120" s="36">
        <f t="shared" ref="H120:J123" si="27">+F120+G120</f>
        <v>-1319556</v>
      </c>
      <c r="I120" s="36"/>
      <c r="J120" s="36">
        <f t="shared" si="27"/>
        <v>-1319556</v>
      </c>
      <c r="L120" s="4"/>
    </row>
    <row r="121" spans="2:12" hidden="1" x14ac:dyDescent="0.25">
      <c r="B121" s="24" t="s">
        <v>258</v>
      </c>
      <c r="C121" s="38"/>
      <c r="D121" s="38"/>
      <c r="E121" s="38"/>
      <c r="F121" s="36">
        <f>446968</f>
        <v>446968</v>
      </c>
      <c r="G121" s="36"/>
      <c r="H121" s="36">
        <f t="shared" si="27"/>
        <v>446968</v>
      </c>
      <c r="I121" s="36"/>
      <c r="J121" s="36">
        <f t="shared" si="27"/>
        <v>446968</v>
      </c>
      <c r="L121" s="4"/>
    </row>
    <row r="122" spans="2:12" hidden="1" x14ac:dyDescent="0.25">
      <c r="B122" s="24" t="s">
        <v>57</v>
      </c>
      <c r="C122" s="38"/>
      <c r="D122" s="38"/>
      <c r="E122" s="38"/>
      <c r="F122" s="36">
        <v>5595545</v>
      </c>
      <c r="G122" s="36">
        <v>2593677</v>
      </c>
      <c r="H122" s="36">
        <f t="shared" si="27"/>
        <v>8189222</v>
      </c>
      <c r="I122" s="36">
        <f>+ER!S40</f>
        <v>1836936.4151480002</v>
      </c>
      <c r="J122" s="36">
        <f t="shared" si="27"/>
        <v>10026158.415148001</v>
      </c>
      <c r="K122" s="35">
        <f>+F122-5595545</f>
        <v>0</v>
      </c>
      <c r="L122" s="4"/>
    </row>
    <row r="123" spans="2:12" hidden="1" x14ac:dyDescent="0.25">
      <c r="B123" s="24" t="s">
        <v>197</v>
      </c>
      <c r="C123" s="38"/>
      <c r="D123" s="38"/>
      <c r="E123" s="38"/>
      <c r="F123" s="36"/>
      <c r="G123" s="36">
        <v>-3414354</v>
      </c>
      <c r="H123" s="36">
        <f t="shared" si="27"/>
        <v>-3414354</v>
      </c>
      <c r="I123" s="36"/>
      <c r="J123" s="36">
        <f t="shared" si="27"/>
        <v>-3414354</v>
      </c>
      <c r="L123" s="4"/>
    </row>
    <row r="124" spans="2:12" x14ac:dyDescent="0.25">
      <c r="B124" s="24" t="s">
        <v>255</v>
      </c>
      <c r="C124" s="38"/>
      <c r="D124" s="38"/>
      <c r="E124" s="38"/>
      <c r="F124" s="44">
        <f>SUM(F118:F123)</f>
        <v>37757436</v>
      </c>
      <c r="G124" s="147">
        <f>SUM(G118:G123)</f>
        <v>1739003</v>
      </c>
      <c r="H124" s="147">
        <f>+F124+G124</f>
        <v>39496439</v>
      </c>
      <c r="I124" s="44">
        <f>SUM(I118:I123)</f>
        <v>-14609377.588252001</v>
      </c>
      <c r="J124" s="44">
        <f>+H124+I124</f>
        <v>24887061.411747999</v>
      </c>
      <c r="K124" s="35"/>
      <c r="L124" s="4"/>
    </row>
    <row r="125" spans="2:12" x14ac:dyDescent="0.25">
      <c r="B125" s="24" t="s">
        <v>258</v>
      </c>
      <c r="C125" s="38"/>
      <c r="D125" s="38"/>
      <c r="E125" s="38"/>
      <c r="F125" s="36">
        <v>251108</v>
      </c>
      <c r="G125" s="148">
        <v>-48910</v>
      </c>
      <c r="H125" s="148">
        <f>+F125+G125</f>
        <v>202198</v>
      </c>
      <c r="I125" s="36"/>
      <c r="J125" s="36">
        <f>+H125+I125</f>
        <v>202198</v>
      </c>
      <c r="L125" s="4"/>
    </row>
    <row r="126" spans="2:12" x14ac:dyDescent="0.25">
      <c r="B126" s="24" t="s">
        <v>306</v>
      </c>
      <c r="C126" s="38"/>
      <c r="D126" s="38"/>
      <c r="E126" s="38"/>
      <c r="F126" s="36">
        <v>854455</v>
      </c>
      <c r="G126" s="148">
        <v>-334309</v>
      </c>
      <c r="H126" s="148">
        <f t="shared" ref="H126:H136" si="28">+F126+G126</f>
        <v>520146</v>
      </c>
      <c r="I126" s="36"/>
      <c r="J126" s="36">
        <f t="shared" ref="J126:J136" si="29">+H126+I126</f>
        <v>520146</v>
      </c>
      <c r="L126" s="4"/>
    </row>
    <row r="127" spans="2:12" x14ac:dyDescent="0.25">
      <c r="B127" s="24" t="s">
        <v>197</v>
      </c>
      <c r="C127" s="38"/>
      <c r="D127" s="38"/>
      <c r="E127" s="138"/>
      <c r="F127" s="36">
        <v>-5035990</v>
      </c>
      <c r="G127" s="148">
        <v>-2143739</v>
      </c>
      <c r="H127" s="148">
        <f t="shared" si="28"/>
        <v>-7179729</v>
      </c>
      <c r="I127" s="36"/>
      <c r="J127" s="36">
        <f t="shared" si="29"/>
        <v>-7179729</v>
      </c>
      <c r="L127" s="4"/>
    </row>
    <row r="128" spans="2:12" x14ac:dyDescent="0.25">
      <c r="B128" s="24" t="s">
        <v>256</v>
      </c>
      <c r="C128" s="38"/>
      <c r="D128" s="38"/>
      <c r="E128" s="70"/>
      <c r="F128" s="36">
        <v>-559555</v>
      </c>
      <c r="G128" s="148"/>
      <c r="H128" s="148">
        <f t="shared" si="28"/>
        <v>-559555</v>
      </c>
      <c r="I128" s="36"/>
      <c r="J128" s="36">
        <f t="shared" si="29"/>
        <v>-559555</v>
      </c>
      <c r="L128" s="4"/>
    </row>
    <row r="129" spans="2:12" x14ac:dyDescent="0.25">
      <c r="B129" s="24" t="s">
        <v>307</v>
      </c>
      <c r="C129" s="38"/>
      <c r="D129" s="38"/>
      <c r="E129" s="38"/>
      <c r="F129" s="36"/>
      <c r="G129" s="148">
        <v>-190570</v>
      </c>
      <c r="H129" s="148">
        <f t="shared" si="28"/>
        <v>-190570</v>
      </c>
      <c r="I129" s="36"/>
      <c r="J129" s="36">
        <f t="shared" si="29"/>
        <v>-190570</v>
      </c>
      <c r="L129" s="4"/>
    </row>
    <row r="130" spans="2:12" x14ac:dyDescent="0.25">
      <c r="B130" s="24" t="s">
        <v>308</v>
      </c>
      <c r="C130" s="38"/>
      <c r="D130" s="38"/>
      <c r="E130" s="38"/>
      <c r="F130" s="36">
        <f>ER!J36</f>
        <v>9390028.4499999881</v>
      </c>
      <c r="G130" s="148">
        <f>ER!K36</f>
        <v>3747805</v>
      </c>
      <c r="H130" s="148">
        <f t="shared" si="28"/>
        <v>13137833.449999988</v>
      </c>
      <c r="I130" s="36">
        <f>+ER!M36</f>
        <v>3084140.5</v>
      </c>
      <c r="J130" s="36">
        <f t="shared" si="29"/>
        <v>16221973.949999988</v>
      </c>
      <c r="L130" s="4"/>
    </row>
    <row r="131" spans="2:12" x14ac:dyDescent="0.25">
      <c r="B131" s="24" t="s">
        <v>300</v>
      </c>
      <c r="C131" s="38"/>
      <c r="D131" s="38"/>
      <c r="E131" s="38"/>
      <c r="F131" s="45">
        <f>SUM(F124:F130)</f>
        <v>42657482.449999988</v>
      </c>
      <c r="G131" s="146">
        <f>SUM(G124:G130)</f>
        <v>2769280</v>
      </c>
      <c r="H131" s="146">
        <f>+F131+G131</f>
        <v>45426762.449999988</v>
      </c>
      <c r="I131" s="45">
        <f>SUM(I124:I130)</f>
        <v>-11525237.088252001</v>
      </c>
      <c r="J131" s="45">
        <f>+H131+I131</f>
        <v>33901525.361747988</v>
      </c>
      <c r="K131" s="35"/>
      <c r="L131" s="4"/>
    </row>
    <row r="132" spans="2:12" x14ac:dyDescent="0.25">
      <c r="B132" s="24" t="s">
        <v>334</v>
      </c>
      <c r="C132" s="38"/>
      <c r="D132" s="38"/>
      <c r="E132" s="38"/>
      <c r="F132" s="36">
        <f>-42657482+40887284</f>
        <v>-1770198</v>
      </c>
      <c r="G132" s="148">
        <v>-111739</v>
      </c>
      <c r="H132" s="148">
        <f t="shared" si="28"/>
        <v>-1881937</v>
      </c>
      <c r="I132" s="36"/>
      <c r="J132" s="36">
        <f t="shared" si="29"/>
        <v>-1881937</v>
      </c>
      <c r="K132" s="35"/>
      <c r="L132" s="4"/>
    </row>
    <row r="133" spans="2:12" x14ac:dyDescent="0.25">
      <c r="B133" s="24" t="s">
        <v>352</v>
      </c>
      <c r="C133" s="38"/>
      <c r="D133" s="38"/>
      <c r="E133" s="38"/>
      <c r="F133" s="36">
        <v>-8215675</v>
      </c>
      <c r="G133" s="148"/>
      <c r="H133" s="148">
        <f t="shared" si="28"/>
        <v>-8215675</v>
      </c>
      <c r="I133" s="36"/>
      <c r="J133" s="36">
        <f t="shared" si="29"/>
        <v>-8215675</v>
      </c>
      <c r="K133" s="35"/>
      <c r="L133" s="4"/>
    </row>
    <row r="134" spans="2:12" x14ac:dyDescent="0.25">
      <c r="B134" s="24" t="s">
        <v>256</v>
      </c>
      <c r="C134" s="38"/>
      <c r="D134" s="38"/>
      <c r="E134" s="38"/>
      <c r="F134" s="36">
        <v>-912853</v>
      </c>
      <c r="G134" s="148">
        <v>-374781</v>
      </c>
      <c r="H134" s="148">
        <f t="shared" si="28"/>
        <v>-1287634</v>
      </c>
      <c r="I134" s="36"/>
      <c r="J134" s="36">
        <f t="shared" si="29"/>
        <v>-1287634</v>
      </c>
      <c r="K134" s="35"/>
      <c r="L134" s="4"/>
    </row>
    <row r="135" spans="2:12" x14ac:dyDescent="0.25">
      <c r="B135" s="24" t="s">
        <v>307</v>
      </c>
      <c r="C135" s="38"/>
      <c r="D135" s="38"/>
      <c r="E135" s="38"/>
      <c r="F135" s="36">
        <v>-5488035</v>
      </c>
      <c r="G135" s="148">
        <v>-3373023</v>
      </c>
      <c r="H135" s="148">
        <f t="shared" si="28"/>
        <v>-8861058</v>
      </c>
      <c r="I135" s="36"/>
      <c r="J135" s="36">
        <f t="shared" si="29"/>
        <v>-8861058</v>
      </c>
      <c r="K135" s="35"/>
      <c r="L135" s="4"/>
    </row>
    <row r="136" spans="2:12" x14ac:dyDescent="0.25">
      <c r="B136" s="24" t="s">
        <v>308</v>
      </c>
      <c r="C136" s="38"/>
      <c r="D136" s="38"/>
      <c r="E136" s="38"/>
      <c r="F136" s="36">
        <f>+ER!D36</f>
        <v>15216635</v>
      </c>
      <c r="G136" s="148">
        <f>+ER!E36</f>
        <v>7092645</v>
      </c>
      <c r="H136" s="148">
        <f t="shared" si="28"/>
        <v>22309280</v>
      </c>
      <c r="I136" s="36">
        <f>+ER!G36</f>
        <v>1762103.75</v>
      </c>
      <c r="J136" s="36">
        <f t="shared" si="29"/>
        <v>24071383.75</v>
      </c>
      <c r="K136" s="35"/>
      <c r="L136" s="4"/>
    </row>
    <row r="137" spans="2:12" ht="15.75" thickBot="1" x14ac:dyDescent="0.3">
      <c r="B137" s="24" t="s">
        <v>333</v>
      </c>
      <c r="C137" s="38"/>
      <c r="D137" s="38"/>
      <c r="E137" s="38"/>
      <c r="F137" s="149">
        <f>SUM(F131:F136)</f>
        <v>41487356.449999988</v>
      </c>
      <c r="G137" s="149">
        <f>SUM(G131:G136)</f>
        <v>6002382</v>
      </c>
      <c r="H137" s="149">
        <f t="shared" ref="H137:J137" si="30">SUM(H131:H136)</f>
        <v>47489738.449999988</v>
      </c>
      <c r="I137" s="149">
        <f t="shared" si="30"/>
        <v>-9763133.3382520005</v>
      </c>
      <c r="J137" s="149">
        <f t="shared" si="30"/>
        <v>37726605.111747988</v>
      </c>
      <c r="K137" s="35"/>
      <c r="L137" s="4"/>
    </row>
    <row r="138" spans="2:12" ht="15.75" thickTop="1" x14ac:dyDescent="0.25">
      <c r="B138" s="139" t="s">
        <v>311</v>
      </c>
      <c r="C138" s="142"/>
      <c r="D138" s="142"/>
      <c r="E138" s="142"/>
      <c r="F138" s="140">
        <f>+F137+F95+F80+F72</f>
        <v>38836240.449999988</v>
      </c>
      <c r="G138" s="140">
        <f t="shared" ref="G138:J138" si="31">+G137+G95+G80+G72</f>
        <v>5900900</v>
      </c>
      <c r="H138" s="140">
        <f t="shared" si="31"/>
        <v>44737140.449999988</v>
      </c>
      <c r="I138" s="140">
        <f t="shared" si="31"/>
        <v>-9763133.3382520005</v>
      </c>
      <c r="J138" s="140">
        <f t="shared" si="31"/>
        <v>34974007.111747988</v>
      </c>
      <c r="K138" s="35">
        <f>+I138-'BG '!N71</f>
        <v>1762103.75</v>
      </c>
      <c r="L138" s="4"/>
    </row>
    <row r="139" spans="2:12" ht="13.15" customHeight="1" x14ac:dyDescent="0.25">
      <c r="B139" s="40" t="s">
        <v>312</v>
      </c>
      <c r="C139" s="38"/>
      <c r="D139" s="38"/>
      <c r="E139" s="38"/>
      <c r="F139" s="36"/>
      <c r="G139" s="36"/>
      <c r="H139" s="36"/>
      <c r="I139" s="43"/>
      <c r="J139" s="43"/>
      <c r="L139" s="4"/>
    </row>
    <row r="140" spans="2:12" hidden="1" outlineLevel="1" x14ac:dyDescent="0.25">
      <c r="B140" s="24" t="s">
        <v>74</v>
      </c>
      <c r="C140" s="38"/>
      <c r="D140" s="38"/>
      <c r="E140" s="38"/>
      <c r="F140" s="36">
        <f>+F8+F27+F41+F58+F67+F75+F98</f>
        <v>39550217</v>
      </c>
      <c r="G140" s="36">
        <f>+G8+G27+G41+G58+G67+G75+G98</f>
        <v>5424539</v>
      </c>
      <c r="H140" s="36">
        <f t="shared" si="0"/>
        <v>44974756</v>
      </c>
      <c r="I140" s="43"/>
      <c r="J140" s="36">
        <f t="shared" ref="J140:J150" si="32">+H140+I140</f>
        <v>44974756</v>
      </c>
      <c r="L140" s="4"/>
    </row>
    <row r="141" spans="2:12" hidden="1" outlineLevel="1" x14ac:dyDescent="0.25">
      <c r="B141" s="24" t="s">
        <v>176</v>
      </c>
      <c r="C141" s="38"/>
      <c r="D141" s="38"/>
      <c r="E141" s="38"/>
      <c r="F141" s="36"/>
      <c r="G141" s="36">
        <v>-154178</v>
      </c>
      <c r="H141" s="36"/>
      <c r="I141" s="43"/>
      <c r="J141" s="36"/>
      <c r="L141" s="4"/>
    </row>
    <row r="142" spans="2:12" hidden="1" outlineLevel="1" x14ac:dyDescent="0.25">
      <c r="B142" s="24" t="s">
        <v>134</v>
      </c>
      <c r="C142" s="38"/>
      <c r="D142" s="38"/>
      <c r="E142" s="38"/>
      <c r="F142" s="36">
        <f>+F99</f>
        <v>-10113380</v>
      </c>
      <c r="G142" s="36"/>
      <c r="H142" s="36">
        <f t="shared" si="0"/>
        <v>-10113380</v>
      </c>
      <c r="I142" s="43"/>
      <c r="J142" s="36">
        <f t="shared" si="32"/>
        <v>-10113380</v>
      </c>
      <c r="L142" s="4"/>
    </row>
    <row r="143" spans="2:12" hidden="1" outlineLevel="1" x14ac:dyDescent="0.25">
      <c r="B143" s="24" t="s">
        <v>233</v>
      </c>
      <c r="C143" s="38"/>
      <c r="D143" s="38"/>
      <c r="E143" s="38"/>
      <c r="F143" s="36">
        <f>+F103+F75+F67+F58+F43+F29+F9</f>
        <v>55520427</v>
      </c>
      <c r="G143" s="36">
        <f>+G140+G141</f>
        <v>5270361</v>
      </c>
      <c r="H143" s="36">
        <f t="shared" ref="H143:H150" si="33">+F143+G143</f>
        <v>60790788</v>
      </c>
      <c r="I143" s="83" t="e">
        <f>+I103</f>
        <v>#REF!</v>
      </c>
      <c r="J143" s="36" t="e">
        <f t="shared" si="32"/>
        <v>#REF!</v>
      </c>
      <c r="L143" s="4"/>
    </row>
    <row r="144" spans="2:12" hidden="1" outlineLevel="1" x14ac:dyDescent="0.25">
      <c r="B144" s="24" t="s">
        <v>194</v>
      </c>
      <c r="C144" s="38"/>
      <c r="D144" s="38"/>
      <c r="E144" s="38"/>
      <c r="F144" s="36">
        <f>+F105</f>
        <v>-5585599</v>
      </c>
      <c r="G144" s="36">
        <f>+G105</f>
        <v>0</v>
      </c>
      <c r="H144" s="36">
        <f>+H105</f>
        <v>-5585599</v>
      </c>
      <c r="I144" s="36">
        <f>+I105</f>
        <v>0</v>
      </c>
      <c r="J144" s="36">
        <f>+J105</f>
        <v>-5585599</v>
      </c>
      <c r="L144" s="4"/>
    </row>
    <row r="145" spans="2:12" hidden="1" outlineLevel="1" x14ac:dyDescent="0.25">
      <c r="B145" s="24" t="s">
        <v>233</v>
      </c>
      <c r="C145" s="38"/>
      <c r="D145" s="38"/>
      <c r="E145" s="38"/>
      <c r="F145" s="36">
        <f>SUM(F143:F144)</f>
        <v>49934828</v>
      </c>
      <c r="G145" s="36">
        <f>SUM(G143:G144)</f>
        <v>5270361</v>
      </c>
      <c r="H145" s="36">
        <f>SUM(H143:H144)</f>
        <v>55205189</v>
      </c>
      <c r="I145" s="36" t="e">
        <f>SUM(I143:I144)</f>
        <v>#REF!</v>
      </c>
      <c r="J145" s="36" t="e">
        <f>SUM(J143:J144)</f>
        <v>#REF!</v>
      </c>
      <c r="L145" s="4"/>
    </row>
    <row r="146" spans="2:12" hidden="1" outlineLevel="1" x14ac:dyDescent="0.25">
      <c r="B146" s="24" t="str">
        <f>+B30</f>
        <v>Devolución de aporte de accionistas 13 enero 2015</v>
      </c>
      <c r="C146" s="38"/>
      <c r="D146" s="38"/>
      <c r="E146" s="38"/>
      <c r="F146" s="83">
        <f>+F30</f>
        <v>-3094403</v>
      </c>
      <c r="G146" s="36"/>
      <c r="H146" s="36">
        <f>+F146+G146</f>
        <v>-3094403</v>
      </c>
      <c r="I146" s="43"/>
      <c r="J146" s="36">
        <f>+H146+I146</f>
        <v>-3094403</v>
      </c>
      <c r="L146" s="4"/>
    </row>
    <row r="147" spans="2:12" hidden="1" outlineLevel="1" x14ac:dyDescent="0.25">
      <c r="B147" s="24" t="s">
        <v>75</v>
      </c>
      <c r="C147" s="38"/>
      <c r="D147" s="38"/>
      <c r="E147" s="38"/>
      <c r="F147" s="36"/>
      <c r="G147" s="36"/>
      <c r="H147" s="36">
        <f t="shared" si="33"/>
        <v>0</v>
      </c>
      <c r="I147" s="43"/>
      <c r="J147" s="36">
        <f t="shared" si="32"/>
        <v>0</v>
      </c>
      <c r="L147" s="4"/>
    </row>
    <row r="148" spans="2:12" hidden="1" outlineLevel="1" x14ac:dyDescent="0.25">
      <c r="B148" s="24" t="s">
        <v>76</v>
      </c>
      <c r="C148" s="38"/>
      <c r="D148" s="38"/>
      <c r="E148" s="38"/>
      <c r="F148" s="36"/>
      <c r="G148" s="36"/>
      <c r="H148" s="36">
        <f t="shared" si="33"/>
        <v>0</v>
      </c>
      <c r="I148" s="43"/>
      <c r="J148" s="36">
        <f t="shared" si="32"/>
        <v>0</v>
      </c>
      <c r="L148" s="4"/>
    </row>
    <row r="149" spans="2:12" hidden="1" outlineLevel="1" x14ac:dyDescent="0.25">
      <c r="B149" s="24" t="s">
        <v>77</v>
      </c>
      <c r="C149" s="38"/>
      <c r="D149" s="38"/>
      <c r="E149" s="38"/>
      <c r="F149" s="36"/>
      <c r="G149" s="36"/>
      <c r="H149" s="36">
        <f t="shared" si="33"/>
        <v>0</v>
      </c>
      <c r="I149" s="43"/>
      <c r="J149" s="36">
        <f t="shared" si="32"/>
        <v>0</v>
      </c>
      <c r="L149" s="4"/>
    </row>
    <row r="150" spans="2:12" hidden="1" outlineLevel="1" x14ac:dyDescent="0.25">
      <c r="B150" s="24" t="s">
        <v>135</v>
      </c>
      <c r="C150" s="38"/>
      <c r="D150" s="38"/>
      <c r="E150" s="38"/>
      <c r="F150" s="36"/>
      <c r="G150" s="36"/>
      <c r="H150" s="36">
        <f t="shared" si="33"/>
        <v>0</v>
      </c>
      <c r="I150" s="43"/>
      <c r="J150" s="36">
        <f t="shared" si="32"/>
        <v>0</v>
      </c>
      <c r="L150" s="4"/>
    </row>
    <row r="151" spans="2:12" hidden="1" outlineLevel="1" x14ac:dyDescent="0.25">
      <c r="B151" s="24" t="s">
        <v>195</v>
      </c>
      <c r="C151" s="38"/>
      <c r="D151" s="38"/>
      <c r="E151" s="38"/>
      <c r="F151" s="36">
        <v>14390</v>
      </c>
      <c r="G151" s="36">
        <v>0</v>
      </c>
      <c r="H151" s="36">
        <f>+F151+G151</f>
        <v>14390</v>
      </c>
      <c r="I151" s="43"/>
      <c r="J151" s="36">
        <f>+H151+I151</f>
        <v>14390</v>
      </c>
      <c r="K151" s="37"/>
      <c r="L151" s="4"/>
    </row>
    <row r="152" spans="2:12" hidden="1" outlineLevel="1" x14ac:dyDescent="0.25">
      <c r="B152" s="24" t="s">
        <v>57</v>
      </c>
      <c r="C152" s="38"/>
      <c r="D152" s="38"/>
      <c r="E152" s="38"/>
      <c r="F152" s="36">
        <f>+F111+F86</f>
        <v>13423797</v>
      </c>
      <c r="G152" s="36">
        <f>+G111+G86</f>
        <v>2603318</v>
      </c>
      <c r="H152" s="36">
        <f>+H111+H86</f>
        <v>16027115</v>
      </c>
      <c r="I152" s="36" t="e">
        <f>+I111+I86</f>
        <v>#REF!</v>
      </c>
      <c r="J152" s="36" t="e">
        <f>+J111+J86</f>
        <v>#REF!</v>
      </c>
      <c r="L152" s="4"/>
    </row>
    <row r="153" spans="2:12" hidden="1" outlineLevel="1" x14ac:dyDescent="0.25">
      <c r="B153" s="24" t="s">
        <v>235</v>
      </c>
      <c r="C153" s="38"/>
      <c r="D153" s="38"/>
      <c r="E153" s="38"/>
      <c r="F153" s="36">
        <f>SUM(F145:F152)</f>
        <v>60278612</v>
      </c>
      <c r="G153" s="36">
        <f>SUM(G145:G152)</f>
        <v>7873679</v>
      </c>
      <c r="H153" s="36">
        <f>+F153+G153</f>
        <v>68152291</v>
      </c>
      <c r="I153" s="36">
        <f>+I112</f>
        <v>-16446314.003400002</v>
      </c>
      <c r="J153" s="36">
        <f>+H153+I153</f>
        <v>51705976.996600002</v>
      </c>
      <c r="L153" s="4"/>
    </row>
    <row r="154" spans="2:12" hidden="1" outlineLevel="1" x14ac:dyDescent="0.25">
      <c r="B154" s="128" t="s">
        <v>261</v>
      </c>
      <c r="C154" s="129"/>
      <c r="D154" s="129"/>
      <c r="E154" s="129"/>
      <c r="F154" s="49">
        <v>-2936828</v>
      </c>
      <c r="G154" s="49">
        <v>0</v>
      </c>
      <c r="H154" s="49">
        <f>+F154+G154</f>
        <v>-2936828</v>
      </c>
      <c r="I154" s="49"/>
      <c r="J154" s="49">
        <f t="shared" ref="J154:J163" si="34">+H154+I154</f>
        <v>-2936828</v>
      </c>
      <c r="K154" s="41"/>
      <c r="L154" s="4"/>
    </row>
    <row r="155" spans="2:12" hidden="1" outlineLevel="1" x14ac:dyDescent="0.25">
      <c r="B155" s="24" t="s">
        <v>262</v>
      </c>
      <c r="C155" s="38"/>
      <c r="D155" s="38"/>
      <c r="E155" s="38"/>
      <c r="F155" s="36">
        <f>+F153+F154</f>
        <v>57341784</v>
      </c>
      <c r="G155" s="36">
        <f t="shared" ref="G155:I155" si="35">+G153+G154</f>
        <v>7873679</v>
      </c>
      <c r="H155" s="36">
        <f t="shared" si="35"/>
        <v>65215463</v>
      </c>
      <c r="I155" s="36">
        <f t="shared" si="35"/>
        <v>-16446314.003400002</v>
      </c>
      <c r="J155" s="36">
        <f t="shared" si="34"/>
        <v>48769148.996600002</v>
      </c>
      <c r="K155" s="41"/>
      <c r="L155" s="4"/>
    </row>
    <row r="156" spans="2:12" hidden="1" outlineLevel="1" x14ac:dyDescent="0.25">
      <c r="B156" s="24" t="s">
        <v>134</v>
      </c>
      <c r="C156" s="38"/>
      <c r="D156" s="38"/>
      <c r="E156" s="38"/>
      <c r="F156" s="36">
        <v>0</v>
      </c>
      <c r="G156" s="36">
        <v>0</v>
      </c>
      <c r="H156" s="36">
        <f>+F156+G156</f>
        <v>0</v>
      </c>
      <c r="I156" s="36"/>
      <c r="J156" s="36">
        <f t="shared" si="34"/>
        <v>0</v>
      </c>
      <c r="K156" s="41"/>
      <c r="L156" s="4"/>
    </row>
    <row r="157" spans="2:12" hidden="1" outlineLevel="1" x14ac:dyDescent="0.25">
      <c r="B157" s="24" t="s">
        <v>57</v>
      </c>
      <c r="C157" s="38"/>
      <c r="D157" s="38"/>
      <c r="E157" s="38"/>
      <c r="F157" s="36">
        <v>6312362</v>
      </c>
      <c r="G157" s="36">
        <f>+G117+G88</f>
        <v>3810401</v>
      </c>
      <c r="H157" s="36">
        <f>+F157+G157</f>
        <v>10122763</v>
      </c>
      <c r="I157" s="36">
        <f>+I117+I88</f>
        <v>0</v>
      </c>
      <c r="J157" s="36">
        <f t="shared" si="34"/>
        <v>10122763</v>
      </c>
      <c r="L157" s="4"/>
    </row>
    <row r="158" spans="2:12" hidden="1" collapsed="1" x14ac:dyDescent="0.25">
      <c r="B158" s="24" t="s">
        <v>196</v>
      </c>
      <c r="C158" s="38"/>
      <c r="D158" s="38"/>
      <c r="E158" s="102"/>
      <c r="F158" s="44">
        <f>SUM(F155:F157)</f>
        <v>63654146</v>
      </c>
      <c r="G158" s="44">
        <f>SUM(G155:G157)</f>
        <v>11684080</v>
      </c>
      <c r="H158" s="44">
        <f>SUM(H155:H157)</f>
        <v>75338226</v>
      </c>
      <c r="I158" s="44">
        <f>SUM(I155:I157)</f>
        <v>-16446314.003400002</v>
      </c>
      <c r="J158" s="44">
        <f t="shared" si="34"/>
        <v>58891911.996600002</v>
      </c>
      <c r="L158" s="4"/>
    </row>
    <row r="159" spans="2:12" hidden="1" x14ac:dyDescent="0.25">
      <c r="B159" s="24" t="s">
        <v>258</v>
      </c>
      <c r="C159" s="38"/>
      <c r="D159" s="38"/>
      <c r="E159" s="38"/>
      <c r="F159" s="36">
        <f>128916+446968</f>
        <v>575884</v>
      </c>
      <c r="G159" s="36">
        <v>0</v>
      </c>
      <c r="H159" s="36">
        <f t="shared" ref="H159:H161" si="36">+F159+G159</f>
        <v>575884</v>
      </c>
      <c r="I159" s="36"/>
      <c r="J159" s="36">
        <f t="shared" si="34"/>
        <v>575884</v>
      </c>
      <c r="L159" s="4"/>
    </row>
    <row r="160" spans="2:12" ht="24.75" hidden="1" customHeight="1" x14ac:dyDescent="0.25">
      <c r="B160" s="299" t="s">
        <v>254</v>
      </c>
      <c r="C160" s="300"/>
      <c r="D160" s="300"/>
      <c r="E160" s="301"/>
      <c r="F160" s="36">
        <v>-705016</v>
      </c>
      <c r="G160" s="36">
        <v>0</v>
      </c>
      <c r="H160" s="36">
        <f t="shared" si="36"/>
        <v>-705016</v>
      </c>
      <c r="I160" s="36"/>
      <c r="J160" s="36">
        <f t="shared" si="34"/>
        <v>-705016</v>
      </c>
      <c r="L160" s="4"/>
    </row>
    <row r="161" spans="2:12" hidden="1" x14ac:dyDescent="0.25">
      <c r="B161" s="24" t="s">
        <v>57</v>
      </c>
      <c r="C161" s="38"/>
      <c r="D161" s="38"/>
      <c r="E161" s="38"/>
      <c r="F161" s="36">
        <v>7316288</v>
      </c>
      <c r="G161" s="49">
        <v>2567422</v>
      </c>
      <c r="H161" s="49">
        <f t="shared" si="36"/>
        <v>9883710</v>
      </c>
      <c r="I161" s="49">
        <f>+I122</f>
        <v>1836936.4151480002</v>
      </c>
      <c r="J161" s="49">
        <f t="shared" si="34"/>
        <v>11720646.415148001</v>
      </c>
      <c r="L161" s="4"/>
    </row>
    <row r="162" spans="2:12" x14ac:dyDescent="0.25">
      <c r="B162" s="24" t="s">
        <v>255</v>
      </c>
      <c r="C162" s="38"/>
      <c r="D162" s="38"/>
      <c r="E162" s="102"/>
      <c r="F162" s="45">
        <f>SUM(F158:F161)</f>
        <v>70841302</v>
      </c>
      <c r="G162" s="45">
        <f>SUM(G158:G161)+1</f>
        <v>14251503</v>
      </c>
      <c r="H162" s="45">
        <f>+G162+F162</f>
        <v>85092805</v>
      </c>
      <c r="I162" s="45">
        <f>SUM(I158:I161)</f>
        <v>-14609377.588252001</v>
      </c>
      <c r="J162" s="45">
        <f t="shared" si="34"/>
        <v>70483427.411747992</v>
      </c>
      <c r="K162" s="35">
        <f>+F162-70841302</f>
        <v>0</v>
      </c>
      <c r="L162" s="4"/>
    </row>
    <row r="163" spans="2:12" x14ac:dyDescent="0.25">
      <c r="B163" s="24" t="s">
        <v>313</v>
      </c>
      <c r="C163" s="38"/>
      <c r="D163" s="38"/>
      <c r="E163" s="38"/>
      <c r="F163" s="36">
        <v>70086</v>
      </c>
      <c r="G163" s="36">
        <v>-16606</v>
      </c>
      <c r="H163" s="36">
        <f t="shared" ref="H163" si="37">+F163+G163</f>
        <v>53480</v>
      </c>
      <c r="I163" s="43"/>
      <c r="J163" s="36">
        <f t="shared" si="34"/>
        <v>53480</v>
      </c>
    </row>
    <row r="164" spans="2:12" x14ac:dyDescent="0.25">
      <c r="B164" s="24" t="s">
        <v>258</v>
      </c>
      <c r="C164" s="38"/>
      <c r="D164" s="38"/>
      <c r="E164" s="38"/>
      <c r="F164" s="36">
        <v>251108</v>
      </c>
      <c r="G164" s="148">
        <v>-48910</v>
      </c>
      <c r="H164" s="148">
        <f>+F164+G164</f>
        <v>202198</v>
      </c>
      <c r="I164" s="36"/>
      <c r="J164" s="36">
        <f>+H164+I164</f>
        <v>202198</v>
      </c>
      <c r="L164" s="4"/>
    </row>
    <row r="165" spans="2:12" x14ac:dyDescent="0.25">
      <c r="B165" s="24" t="s">
        <v>306</v>
      </c>
      <c r="C165" s="38"/>
      <c r="D165" s="38"/>
      <c r="E165" s="38"/>
      <c r="F165" s="36">
        <v>854455</v>
      </c>
      <c r="G165" s="148">
        <v>-334309</v>
      </c>
      <c r="H165" s="148">
        <f t="shared" ref="H165:H166" si="38">+F165+G165</f>
        <v>520146</v>
      </c>
      <c r="I165" s="36"/>
      <c r="J165" s="36">
        <f t="shared" ref="J165" si="39">+H165+I165</f>
        <v>520146</v>
      </c>
      <c r="L165" s="4"/>
    </row>
    <row r="166" spans="2:12" x14ac:dyDescent="0.25">
      <c r="B166" s="24" t="s">
        <v>307</v>
      </c>
      <c r="C166" s="38"/>
      <c r="D166" s="38"/>
      <c r="E166" s="38"/>
      <c r="F166" s="36"/>
      <c r="G166" s="148">
        <v>-190570</v>
      </c>
      <c r="H166" s="148">
        <f t="shared" si="38"/>
        <v>-190570</v>
      </c>
      <c r="I166" s="36"/>
      <c r="J166" s="36">
        <f t="shared" ref="J166" si="40">+H166+I166</f>
        <v>-190570</v>
      </c>
      <c r="L166" s="4"/>
    </row>
    <row r="167" spans="2:12" x14ac:dyDescent="0.25">
      <c r="B167" s="24" t="s">
        <v>308</v>
      </c>
      <c r="C167" s="38"/>
      <c r="D167" s="38"/>
      <c r="E167" s="38"/>
      <c r="F167" s="36">
        <f>+F130</f>
        <v>9390028.4499999881</v>
      </c>
      <c r="G167" s="148">
        <f t="shared" ref="G167:J167" si="41">+G130</f>
        <v>3747805</v>
      </c>
      <c r="H167" s="148">
        <f t="shared" si="41"/>
        <v>13137833.449999988</v>
      </c>
      <c r="I167" s="148">
        <f t="shared" si="41"/>
        <v>3084140.5</v>
      </c>
      <c r="J167" s="148">
        <f t="shared" si="41"/>
        <v>16221973.949999988</v>
      </c>
      <c r="L167" s="4"/>
    </row>
    <row r="168" spans="2:12" x14ac:dyDescent="0.25">
      <c r="B168" s="24" t="s">
        <v>300</v>
      </c>
      <c r="C168" s="38"/>
      <c r="D168" s="38"/>
      <c r="E168" s="38"/>
      <c r="F168" s="45">
        <f>SUM(F162:F167)</f>
        <v>81406979.449999988</v>
      </c>
      <c r="G168" s="22">
        <f>SUM(G162:G167)</f>
        <v>17408913</v>
      </c>
      <c r="H168" s="22">
        <f>SUM(H162:H167)</f>
        <v>98815892.449999988</v>
      </c>
      <c r="I168" s="22">
        <f>SUM(I162:I167)</f>
        <v>-11525237.088252001</v>
      </c>
      <c r="J168" s="22">
        <f>SUM(J162:J167)</f>
        <v>87290655.36174798</v>
      </c>
    </row>
    <row r="169" spans="2:12" x14ac:dyDescent="0.25">
      <c r="B169" s="24" t="s">
        <v>351</v>
      </c>
      <c r="C169" s="38"/>
      <c r="D169" s="38"/>
      <c r="E169" s="38"/>
      <c r="F169" s="36">
        <f>+F37+F23</f>
        <v>0</v>
      </c>
      <c r="G169" s="19"/>
      <c r="H169" s="19">
        <f>+F169+G169</f>
        <v>0</v>
      </c>
      <c r="I169" s="19"/>
      <c r="J169" s="36">
        <f t="shared" ref="J169:J172" si="42">+H169+I169</f>
        <v>0</v>
      </c>
    </row>
    <row r="170" spans="2:12" x14ac:dyDescent="0.25">
      <c r="B170" s="24" t="s">
        <v>334</v>
      </c>
      <c r="C170" s="38"/>
      <c r="D170" s="38"/>
      <c r="E170" s="38"/>
      <c r="F170" s="36">
        <f>+F132</f>
        <v>-1770198</v>
      </c>
      <c r="G170" s="19">
        <f>+G132</f>
        <v>-111739</v>
      </c>
      <c r="H170" s="19">
        <f>+F170+G170</f>
        <v>-1881937</v>
      </c>
      <c r="I170" s="19"/>
      <c r="J170" s="36">
        <f t="shared" si="42"/>
        <v>-1881937</v>
      </c>
    </row>
    <row r="171" spans="2:12" x14ac:dyDescent="0.25">
      <c r="B171" s="24" t="s">
        <v>307</v>
      </c>
      <c r="C171" s="38"/>
      <c r="D171" s="38"/>
      <c r="E171" s="38"/>
      <c r="F171" s="36">
        <f>+F135</f>
        <v>-5488035</v>
      </c>
      <c r="G171" s="19">
        <f>+G135</f>
        <v>-3373023</v>
      </c>
      <c r="H171" s="19">
        <f t="shared" ref="H171:H172" si="43">+F171+G171</f>
        <v>-8861058</v>
      </c>
      <c r="I171" s="19"/>
      <c r="J171" s="36">
        <f t="shared" si="42"/>
        <v>-8861058</v>
      </c>
    </row>
    <row r="172" spans="2:12" x14ac:dyDescent="0.25">
      <c r="B172" s="24" t="s">
        <v>335</v>
      </c>
      <c r="C172" s="38"/>
      <c r="D172" s="38"/>
      <c r="E172" s="38"/>
      <c r="F172" s="36">
        <f>+F136+F94</f>
        <v>14116935</v>
      </c>
      <c r="G172" s="19">
        <f>+G136+G94</f>
        <v>7076908</v>
      </c>
      <c r="H172" s="19">
        <f t="shared" si="43"/>
        <v>21193843</v>
      </c>
      <c r="I172" s="19">
        <f>+I136</f>
        <v>1762103.75</v>
      </c>
      <c r="J172" s="36">
        <f t="shared" si="42"/>
        <v>22955946.75</v>
      </c>
    </row>
    <row r="173" spans="2:12" x14ac:dyDescent="0.25">
      <c r="B173" s="125"/>
      <c r="C173" s="125"/>
      <c r="D173" s="125"/>
      <c r="E173" s="78"/>
      <c r="F173" s="20">
        <f>SUM(F168:F172)</f>
        <v>88265681.449999988</v>
      </c>
      <c r="G173" s="20">
        <f>SUM(G168:G172)</f>
        <v>21001059</v>
      </c>
      <c r="H173" s="20">
        <f>SUM(H168:H172)</f>
        <v>109266740.44999999</v>
      </c>
      <c r="I173" s="20">
        <f>SUM(I168:I172)</f>
        <v>-9763133.3382520005</v>
      </c>
      <c r="J173" s="20">
        <f>SUM(J168:J172)</f>
        <v>99503607.11174798</v>
      </c>
    </row>
    <row r="174" spans="2:12" x14ac:dyDescent="0.25">
      <c r="F174" s="167">
        <f>+F137+F95+F80+F72+F63+F55+F38+F24-F173</f>
        <v>0</v>
      </c>
      <c r="G174" s="167">
        <f t="shared" ref="G174:J174" si="44">+G137+G95+G80+G72+G63+G55+G38+G24-G173</f>
        <v>0</v>
      </c>
      <c r="H174" s="167">
        <f t="shared" si="44"/>
        <v>0</v>
      </c>
      <c r="I174" s="167">
        <f t="shared" si="44"/>
        <v>0</v>
      </c>
      <c r="J174" s="167">
        <f t="shared" si="44"/>
        <v>0</v>
      </c>
    </row>
    <row r="177" spans="6:10" x14ac:dyDescent="0.25">
      <c r="J177" s="35"/>
    </row>
    <row r="178" spans="6:10" x14ac:dyDescent="0.25">
      <c r="F178" s="59" t="s">
        <v>250</v>
      </c>
      <c r="G178" s="7"/>
      <c r="H178" s="7"/>
    </row>
    <row r="179" spans="6:10" x14ac:dyDescent="0.25">
      <c r="F179" s="4" t="s">
        <v>251</v>
      </c>
      <c r="G179"/>
    </row>
  </sheetData>
  <mergeCells count="5">
    <mergeCell ref="B160:E160"/>
    <mergeCell ref="B34:E34"/>
    <mergeCell ref="B37:E37"/>
    <mergeCell ref="B35:E35"/>
    <mergeCell ref="B36:E36"/>
  </mergeCells>
  <pageMargins left="0.7" right="0.7" top="0.75" bottom="0.75" header="0.3" footer="0.3"/>
  <pageSetup scale="81" orientation="portrait" r:id="rId1"/>
  <rowBreaks count="1" manualBreakCount="1">
    <brk id="96"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sheetPr>
  <dimension ref="A1:U76"/>
  <sheetViews>
    <sheetView topLeftCell="B20" zoomScale="93" zoomScaleNormal="93" workbookViewId="0">
      <selection activeCell="G43" sqref="G43"/>
    </sheetView>
  </sheetViews>
  <sheetFormatPr defaultColWidth="11.42578125" defaultRowHeight="15" outlineLevelRow="1" x14ac:dyDescent="0.25"/>
  <cols>
    <col min="1" max="1" width="2.7109375" style="37" customWidth="1"/>
    <col min="2" max="5" width="11.42578125" style="37"/>
    <col min="6" max="6" width="12.140625" style="37" customWidth="1"/>
    <col min="7" max="10" width="13.140625" style="37" bestFit="1" customWidth="1"/>
    <col min="11" max="12" width="11.42578125" style="37" hidden="1" customWidth="1"/>
    <col min="13" max="13" width="12" style="37" hidden="1" customWidth="1"/>
    <col min="14" max="16" width="11.42578125" style="37" hidden="1" customWidth="1"/>
    <col min="17" max="17" width="3.5703125" style="37" hidden="1" customWidth="1"/>
    <col min="18" max="19" width="11.42578125" style="37" hidden="1" customWidth="1"/>
    <col min="20" max="20" width="14.28515625" style="37" bestFit="1" customWidth="1"/>
    <col min="21" max="21" width="13.28515625" style="37" bestFit="1" customWidth="1"/>
    <col min="22" max="16384" width="11.42578125" style="37"/>
  </cols>
  <sheetData>
    <row r="1" spans="1:20" x14ac:dyDescent="0.25">
      <c r="A1" s="171" t="s">
        <v>0</v>
      </c>
    </row>
    <row r="2" spans="1:20" x14ac:dyDescent="0.25">
      <c r="A2" s="132" t="s">
        <v>147</v>
      </c>
      <c r="T2" s="41"/>
    </row>
    <row r="3" spans="1:20" x14ac:dyDescent="0.25">
      <c r="A3" s="132" t="s">
        <v>339</v>
      </c>
    </row>
    <row r="4" spans="1:20" x14ac:dyDescent="0.25">
      <c r="A4" s="172" t="s">
        <v>17</v>
      </c>
      <c r="G4" s="313">
        <v>2019</v>
      </c>
      <c r="H4" s="314"/>
      <c r="I4" s="310">
        <v>2018</v>
      </c>
      <c r="J4" s="310"/>
      <c r="K4" s="310">
        <v>2017</v>
      </c>
      <c r="L4" s="310"/>
      <c r="M4" s="310">
        <v>2016</v>
      </c>
      <c r="N4" s="310"/>
      <c r="O4" s="310">
        <v>2015</v>
      </c>
      <c r="P4" s="310"/>
      <c r="R4" s="310">
        <v>2014</v>
      </c>
      <c r="S4" s="310"/>
    </row>
    <row r="5" spans="1:20" x14ac:dyDescent="0.25">
      <c r="G5" s="170" t="s">
        <v>79</v>
      </c>
      <c r="H5" s="170" t="s">
        <v>80</v>
      </c>
      <c r="I5" s="170" t="s">
        <v>79</v>
      </c>
      <c r="J5" s="170" t="s">
        <v>80</v>
      </c>
      <c r="K5" s="170" t="s">
        <v>79</v>
      </c>
      <c r="L5" s="170" t="s">
        <v>80</v>
      </c>
      <c r="M5" s="170" t="s">
        <v>79</v>
      </c>
      <c r="N5" s="170" t="s">
        <v>80</v>
      </c>
      <c r="O5" s="170" t="s">
        <v>79</v>
      </c>
      <c r="P5" s="170" t="s">
        <v>80</v>
      </c>
      <c r="Q5" s="42"/>
      <c r="R5" s="170" t="s">
        <v>79</v>
      </c>
      <c r="S5" s="170" t="s">
        <v>80</v>
      </c>
    </row>
    <row r="6" spans="1:20" x14ac:dyDescent="0.25">
      <c r="B6" s="130"/>
      <c r="C6" s="131" t="s">
        <v>81</v>
      </c>
      <c r="D6" s="125"/>
      <c r="E6" s="125"/>
      <c r="F6" s="125"/>
      <c r="G6" s="69"/>
      <c r="H6" s="69"/>
      <c r="I6" s="69"/>
      <c r="J6" s="69"/>
      <c r="K6" s="69"/>
      <c r="L6" s="69"/>
      <c r="M6" s="43"/>
      <c r="N6" s="43"/>
      <c r="O6" s="43"/>
      <c r="P6" s="43"/>
      <c r="R6" s="43"/>
      <c r="S6" s="43"/>
    </row>
    <row r="7" spans="1:20" x14ac:dyDescent="0.25">
      <c r="B7" s="24" t="s">
        <v>82</v>
      </c>
      <c r="C7" s="38"/>
      <c r="D7" s="38"/>
      <c r="E7" s="38"/>
      <c r="F7" s="38"/>
      <c r="G7" s="36">
        <v>548165</v>
      </c>
      <c r="H7" s="36"/>
      <c r="I7" s="36">
        <v>443374</v>
      </c>
      <c r="J7" s="36"/>
      <c r="K7" s="36">
        <v>386373</v>
      </c>
      <c r="L7" s="36"/>
      <c r="M7" s="36">
        <v>323638</v>
      </c>
      <c r="N7" s="36"/>
      <c r="O7" s="36">
        <v>942254</v>
      </c>
      <c r="P7" s="36"/>
      <c r="Q7" s="39"/>
      <c r="R7" s="36">
        <v>679872</v>
      </c>
      <c r="S7" s="36"/>
    </row>
    <row r="8" spans="1:20" hidden="1" x14ac:dyDescent="0.25">
      <c r="B8" s="40" t="s">
        <v>182</v>
      </c>
      <c r="C8" s="38"/>
      <c r="D8" s="38"/>
      <c r="E8" s="38"/>
      <c r="F8" s="38"/>
      <c r="G8" s="36"/>
      <c r="H8" s="36"/>
      <c r="I8" s="36"/>
      <c r="J8" s="36"/>
      <c r="K8" s="36"/>
      <c r="L8" s="36"/>
      <c r="M8" s="36"/>
      <c r="N8" s="36"/>
      <c r="O8" s="36">
        <f>+P9-O7</f>
        <v>113005</v>
      </c>
      <c r="P8" s="36"/>
      <c r="Q8" s="39"/>
      <c r="R8" s="36"/>
      <c r="S8" s="36">
        <f>+R7-S9</f>
        <v>16101</v>
      </c>
    </row>
    <row r="9" spans="1:20" x14ac:dyDescent="0.25">
      <c r="B9" s="24" t="s">
        <v>83</v>
      </c>
      <c r="C9" s="38"/>
      <c r="D9" s="38"/>
      <c r="E9" s="38"/>
      <c r="F9" s="38"/>
      <c r="G9" s="36"/>
      <c r="H9" s="36">
        <f>+G7</f>
        <v>548165</v>
      </c>
      <c r="I9" s="36"/>
      <c r="J9" s="36">
        <f>+I7</f>
        <v>443374</v>
      </c>
      <c r="K9" s="36"/>
      <c r="L9" s="36">
        <f>+K7</f>
        <v>386373</v>
      </c>
      <c r="M9" s="36"/>
      <c r="N9" s="36">
        <f>+M7</f>
        <v>323638</v>
      </c>
      <c r="O9" s="36"/>
      <c r="P9" s="36">
        <v>1055259</v>
      </c>
      <c r="Q9" s="39"/>
      <c r="R9" s="36"/>
      <c r="S9" s="36">
        <v>663771</v>
      </c>
    </row>
    <row r="10" spans="1:20" x14ac:dyDescent="0.25">
      <c r="B10" s="24" t="s">
        <v>84</v>
      </c>
      <c r="C10" s="38"/>
      <c r="D10" s="38"/>
      <c r="E10" s="38"/>
      <c r="F10" s="38"/>
      <c r="G10" s="36"/>
      <c r="H10" s="36"/>
      <c r="I10" s="36"/>
      <c r="J10" s="36"/>
      <c r="K10" s="36"/>
      <c r="L10" s="36"/>
      <c r="M10" s="36"/>
      <c r="N10" s="36"/>
      <c r="O10" s="36"/>
      <c r="P10" s="36"/>
      <c r="Q10" s="39"/>
      <c r="R10" s="36"/>
      <c r="S10" s="36"/>
    </row>
    <row r="11" spans="1:20" x14ac:dyDescent="0.25">
      <c r="B11" s="128"/>
      <c r="C11" s="129"/>
      <c r="D11" s="129"/>
      <c r="E11" s="129"/>
      <c r="F11" s="129" t="s">
        <v>149</v>
      </c>
      <c r="G11" s="44">
        <f t="shared" ref="G11:J11" si="0">SUM(G7:G10)</f>
        <v>548165</v>
      </c>
      <c r="H11" s="44">
        <f t="shared" si="0"/>
        <v>548165</v>
      </c>
      <c r="I11" s="44">
        <f t="shared" si="0"/>
        <v>443374</v>
      </c>
      <c r="J11" s="44">
        <f t="shared" si="0"/>
        <v>443374</v>
      </c>
      <c r="K11" s="44">
        <f t="shared" ref="K11:L11" si="1">SUM(K7:K10)</f>
        <v>386373</v>
      </c>
      <c r="L11" s="44">
        <f t="shared" si="1"/>
        <v>386373</v>
      </c>
      <c r="M11" s="44">
        <f t="shared" ref="M11:P11" si="2">SUM(M7:M10)</f>
        <v>323638</v>
      </c>
      <c r="N11" s="44">
        <f t="shared" si="2"/>
        <v>323638</v>
      </c>
      <c r="O11" s="44">
        <f t="shared" si="2"/>
        <v>1055259</v>
      </c>
      <c r="P11" s="44">
        <f t="shared" si="2"/>
        <v>1055259</v>
      </c>
      <c r="Q11" s="39"/>
      <c r="R11" s="44">
        <f>SUM(R7:R10)</f>
        <v>679872</v>
      </c>
      <c r="S11" s="44">
        <f>SUM(S7:S10)</f>
        <v>679872</v>
      </c>
    </row>
    <row r="12" spans="1:20" x14ac:dyDescent="0.25">
      <c r="B12" s="130"/>
      <c r="C12" s="131" t="s">
        <v>85</v>
      </c>
      <c r="D12" s="125"/>
      <c r="E12" s="125"/>
      <c r="F12" s="125"/>
      <c r="G12" s="69"/>
      <c r="H12" s="69"/>
      <c r="I12" s="69"/>
      <c r="J12" s="69"/>
      <c r="K12" s="69"/>
      <c r="L12" s="69"/>
      <c r="M12" s="45"/>
      <c r="N12" s="45"/>
      <c r="O12" s="45"/>
      <c r="P12" s="45"/>
      <c r="Q12" s="39"/>
      <c r="R12" s="45"/>
      <c r="S12" s="45"/>
    </row>
    <row r="13" spans="1:20" x14ac:dyDescent="0.25">
      <c r="B13" s="24" t="s">
        <v>358</v>
      </c>
      <c r="C13" s="38"/>
      <c r="D13" s="38"/>
      <c r="E13" s="38"/>
      <c r="F13" s="38"/>
      <c r="G13" s="36">
        <v>12478474</v>
      </c>
      <c r="H13" s="36"/>
      <c r="I13" s="36">
        <v>10682418</v>
      </c>
      <c r="J13" s="36"/>
      <c r="K13" s="36">
        <v>5099200</v>
      </c>
      <c r="L13" s="36"/>
      <c r="M13" s="36">
        <v>7790426</v>
      </c>
      <c r="N13" s="36"/>
      <c r="O13" s="36">
        <v>2148793</v>
      </c>
      <c r="P13" s="36"/>
      <c r="Q13" s="39"/>
      <c r="R13" s="36">
        <v>1912184</v>
      </c>
      <c r="S13" s="36"/>
    </row>
    <row r="14" spans="1:20" x14ac:dyDescent="0.25">
      <c r="B14" s="24" t="s">
        <v>359</v>
      </c>
      <c r="C14" s="38"/>
      <c r="D14" s="38"/>
      <c r="E14" s="38"/>
      <c r="F14" s="38"/>
      <c r="G14" s="36">
        <v>150402</v>
      </c>
      <c r="H14" s="36"/>
      <c r="I14" s="36"/>
      <c r="J14" s="36"/>
      <c r="K14" s="36"/>
      <c r="L14" s="36"/>
      <c r="M14" s="36"/>
      <c r="N14" s="36"/>
      <c r="O14" s="36"/>
      <c r="P14" s="36"/>
      <c r="Q14" s="39"/>
      <c r="R14" s="36"/>
      <c r="S14" s="36"/>
    </row>
    <row r="15" spans="1:20" x14ac:dyDescent="0.25">
      <c r="B15" s="24" t="s">
        <v>357</v>
      </c>
      <c r="C15" s="38"/>
      <c r="D15" s="38"/>
      <c r="E15" s="38"/>
      <c r="F15" s="38"/>
      <c r="G15" s="36">
        <v>2053333</v>
      </c>
      <c r="H15" s="36"/>
      <c r="I15" s="36"/>
      <c r="J15" s="36"/>
      <c r="K15" s="36"/>
      <c r="L15" s="36"/>
      <c r="M15" s="36"/>
      <c r="N15" s="36"/>
      <c r="O15" s="36"/>
      <c r="P15" s="36"/>
      <c r="Q15" s="39"/>
      <c r="R15" s="36"/>
      <c r="S15" s="36"/>
    </row>
    <row r="16" spans="1:20" x14ac:dyDescent="0.25">
      <c r="B16" s="40" t="s">
        <v>319</v>
      </c>
      <c r="C16" s="38"/>
      <c r="D16" s="38"/>
      <c r="E16" s="38"/>
      <c r="F16" s="38"/>
      <c r="G16" s="36"/>
      <c r="H16" s="36">
        <v>289600</v>
      </c>
      <c r="I16" s="36"/>
      <c r="J16" s="36">
        <f>10820478-10764779</f>
        <v>55699</v>
      </c>
      <c r="K16" s="36">
        <f>-K13-K17+L18</f>
        <v>12940</v>
      </c>
      <c r="L16" s="36"/>
      <c r="M16" s="36"/>
      <c r="N16" s="36"/>
      <c r="O16" s="36"/>
      <c r="P16" s="36"/>
      <c r="Q16" s="39"/>
      <c r="R16" s="36"/>
      <c r="S16" s="36"/>
    </row>
    <row r="17" spans="2:21" x14ac:dyDescent="0.25">
      <c r="B17" s="40" t="s">
        <v>183</v>
      </c>
      <c r="C17" s="38"/>
      <c r="D17" s="38"/>
      <c r="E17" s="38"/>
      <c r="F17" s="38"/>
      <c r="G17" s="36"/>
      <c r="H17" s="36"/>
      <c r="I17" s="36">
        <v>138060</v>
      </c>
      <c r="J17" s="36"/>
      <c r="K17" s="36">
        <v>138060</v>
      </c>
      <c r="L17" s="36"/>
      <c r="M17" s="36" t="e">
        <f>+#REF!</f>
        <v>#REF!</v>
      </c>
      <c r="N17" s="36"/>
      <c r="O17" s="36"/>
      <c r="P17" s="36"/>
      <c r="Q17" s="39"/>
      <c r="R17" s="36"/>
      <c r="S17" s="36"/>
    </row>
    <row r="18" spans="2:21" x14ac:dyDescent="0.25">
      <c r="B18" s="24" t="s">
        <v>336</v>
      </c>
      <c r="C18" s="38"/>
      <c r="D18" s="38"/>
      <c r="E18" s="38"/>
      <c r="F18" s="38"/>
      <c r="G18" s="36"/>
      <c r="H18" s="36">
        <v>14392609</v>
      </c>
      <c r="I18" s="36"/>
      <c r="J18" s="36">
        <v>10764779</v>
      </c>
      <c r="K18" s="36"/>
      <c r="L18" s="36">
        <v>5250200</v>
      </c>
      <c r="M18" s="36"/>
      <c r="N18" s="36">
        <v>8398689</v>
      </c>
      <c r="O18" s="36"/>
      <c r="P18" s="36">
        <v>2286853</v>
      </c>
      <c r="Q18" s="39"/>
      <c r="R18" s="36"/>
      <c r="S18" s="36">
        <v>2802380</v>
      </c>
    </row>
    <row r="19" spans="2:21" x14ac:dyDescent="0.25">
      <c r="B19" s="24" t="s">
        <v>86</v>
      </c>
      <c r="C19" s="38"/>
      <c r="D19" s="38"/>
      <c r="E19" s="38"/>
      <c r="F19" s="38"/>
      <c r="G19" s="36"/>
      <c r="H19" s="36"/>
      <c r="I19" s="36"/>
      <c r="J19" s="36"/>
      <c r="K19" s="36"/>
      <c r="L19" s="36"/>
      <c r="M19" s="36"/>
      <c r="N19" s="36"/>
      <c r="O19" s="36"/>
      <c r="P19" s="36"/>
      <c r="Q19" s="39"/>
      <c r="R19" s="36"/>
      <c r="S19" s="36"/>
    </row>
    <row r="20" spans="2:21" x14ac:dyDescent="0.25">
      <c r="B20" s="128"/>
      <c r="C20" s="129"/>
      <c r="D20" s="129"/>
      <c r="E20" s="129"/>
      <c r="F20" s="129" t="s">
        <v>149</v>
      </c>
      <c r="G20" s="44">
        <f>SUM(G13:G19)</f>
        <v>14682209</v>
      </c>
      <c r="H20" s="44">
        <f>SUM(H13:H19)</f>
        <v>14682209</v>
      </c>
      <c r="I20" s="44">
        <f t="shared" ref="I20:P20" si="3">SUM(I12:I18)</f>
        <v>10820478</v>
      </c>
      <c r="J20" s="44">
        <f t="shared" si="3"/>
        <v>10820478</v>
      </c>
      <c r="K20" s="44">
        <f t="shared" si="3"/>
        <v>5250200</v>
      </c>
      <c r="L20" s="44">
        <f t="shared" si="3"/>
        <v>5250200</v>
      </c>
      <c r="M20" s="44" t="e">
        <f t="shared" si="3"/>
        <v>#REF!</v>
      </c>
      <c r="N20" s="44">
        <f t="shared" si="3"/>
        <v>8398689</v>
      </c>
      <c r="O20" s="44">
        <f t="shared" si="3"/>
        <v>2148793</v>
      </c>
      <c r="P20" s="44">
        <f t="shared" si="3"/>
        <v>2286853</v>
      </c>
      <c r="Q20" s="39"/>
      <c r="R20" s="44">
        <f>SUM(R12:R18)</f>
        <v>1912184</v>
      </c>
      <c r="S20" s="44">
        <f>SUM(S12:S18)</f>
        <v>2802380</v>
      </c>
    </row>
    <row r="21" spans="2:21" x14ac:dyDescent="0.25">
      <c r="B21" s="130"/>
      <c r="C21" s="131" t="s">
        <v>87</v>
      </c>
      <c r="D21" s="125"/>
      <c r="E21" s="125"/>
      <c r="F21" s="125"/>
      <c r="G21" s="166">
        <f>+H20-G20</f>
        <v>0</v>
      </c>
      <c r="H21" s="69"/>
      <c r="I21" s="69"/>
      <c r="J21" s="69"/>
      <c r="K21" s="69"/>
      <c r="L21" s="69"/>
      <c r="M21" s="45"/>
      <c r="N21" s="45"/>
      <c r="O21" s="45"/>
      <c r="P21" s="45"/>
      <c r="Q21" s="39"/>
      <c r="R21" s="45"/>
      <c r="S21" s="45"/>
      <c r="T21" s="41"/>
    </row>
    <row r="22" spans="2:21" x14ac:dyDescent="0.25">
      <c r="B22" s="24" t="s">
        <v>88</v>
      </c>
      <c r="C22" s="38"/>
      <c r="D22" s="38"/>
      <c r="E22" s="38"/>
      <c r="F22" s="38"/>
      <c r="G22" s="36">
        <v>92592770</v>
      </c>
      <c r="H22" s="36"/>
      <c r="I22" s="36">
        <v>74521538</v>
      </c>
      <c r="J22" s="36"/>
      <c r="K22" s="36">
        <v>51723340</v>
      </c>
      <c r="L22" s="36"/>
      <c r="M22" s="36">
        <f>+N23+N24+N25</f>
        <v>42471624</v>
      </c>
      <c r="N22" s="36"/>
      <c r="O22" s="36">
        <v>20619081</v>
      </c>
      <c r="P22" s="36"/>
      <c r="Q22" s="39"/>
      <c r="R22" s="36">
        <v>13229677</v>
      </c>
      <c r="S22" s="36"/>
      <c r="T22" s="39"/>
      <c r="U22" s="41"/>
    </row>
    <row r="23" spans="2:21" x14ac:dyDescent="0.25">
      <c r="B23" s="164" t="s">
        <v>203</v>
      </c>
      <c r="C23" s="38"/>
      <c r="D23" s="38"/>
      <c r="E23" s="38"/>
      <c r="F23" s="38"/>
      <c r="G23" s="36"/>
      <c r="H23" s="36">
        <v>8203260</v>
      </c>
      <c r="I23" s="36"/>
      <c r="J23" s="36">
        <v>5827272</v>
      </c>
      <c r="K23" s="36"/>
      <c r="L23" s="36">
        <v>7144181</v>
      </c>
      <c r="M23" s="36"/>
      <c r="N23" s="36">
        <v>15846166</v>
      </c>
      <c r="O23" s="36"/>
      <c r="P23" s="36">
        <v>5738082</v>
      </c>
      <c r="Q23" s="39"/>
      <c r="R23" s="36"/>
      <c r="S23" s="36">
        <v>1475332</v>
      </c>
      <c r="U23" s="41"/>
    </row>
    <row r="24" spans="2:21" x14ac:dyDescent="0.25">
      <c r="B24" s="24" t="s">
        <v>89</v>
      </c>
      <c r="C24" s="38"/>
      <c r="D24" s="38"/>
      <c r="E24" s="38"/>
      <c r="F24" s="38"/>
      <c r="G24" s="36"/>
      <c r="H24" s="36">
        <f>+G22-H23</f>
        <v>84389510</v>
      </c>
      <c r="I24" s="36"/>
      <c r="J24" s="36">
        <f>+I22-J23</f>
        <v>68694266</v>
      </c>
      <c r="K24" s="36"/>
      <c r="L24" s="36">
        <f>+K22-L23</f>
        <v>44579159</v>
      </c>
      <c r="M24" s="36"/>
      <c r="N24" s="36">
        <f>7436996+18578188+610274</f>
        <v>26625458</v>
      </c>
      <c r="O24" s="36"/>
      <c r="P24" s="36">
        <f>+O22-P23-P25</f>
        <v>11460999</v>
      </c>
      <c r="Q24" s="39"/>
      <c r="R24" s="36"/>
      <c r="S24" s="36">
        <f>+R22-S23-S25</f>
        <v>11337419</v>
      </c>
      <c r="U24" s="41"/>
    </row>
    <row r="25" spans="2:21" hidden="1" x14ac:dyDescent="0.25">
      <c r="B25" s="24" t="s">
        <v>90</v>
      </c>
      <c r="C25" s="38"/>
      <c r="D25" s="38"/>
      <c r="E25" s="38"/>
      <c r="F25" s="38"/>
      <c r="G25" s="36"/>
      <c r="H25" s="36"/>
      <c r="I25" s="36"/>
      <c r="J25" s="36"/>
      <c r="K25" s="36"/>
      <c r="L25" s="36"/>
      <c r="M25" s="36"/>
      <c r="N25" s="36">
        <v>0</v>
      </c>
      <c r="O25" s="36"/>
      <c r="P25" s="36">
        <v>3420000</v>
      </c>
      <c r="Q25" s="39"/>
      <c r="R25" s="36"/>
      <c r="S25" s="36">
        <v>416926</v>
      </c>
      <c r="T25" s="41"/>
    </row>
    <row r="26" spans="2:21" x14ac:dyDescent="0.25">
      <c r="B26" s="24" t="s">
        <v>91</v>
      </c>
      <c r="C26" s="38"/>
      <c r="D26" s="38"/>
      <c r="E26" s="38"/>
      <c r="F26" s="38"/>
      <c r="G26" s="36"/>
      <c r="H26" s="36"/>
      <c r="I26" s="36"/>
      <c r="J26" s="36"/>
      <c r="K26" s="36"/>
      <c r="L26" s="36"/>
      <c r="M26" s="36"/>
      <c r="N26" s="36"/>
      <c r="O26" s="36"/>
      <c r="P26" s="36"/>
      <c r="Q26" s="39"/>
      <c r="R26" s="36"/>
      <c r="S26" s="36"/>
      <c r="U26" s="39"/>
    </row>
    <row r="27" spans="2:21" x14ac:dyDescent="0.25">
      <c r="B27" s="128"/>
      <c r="C27" s="129"/>
      <c r="D27" s="129"/>
      <c r="E27" s="129"/>
      <c r="F27" s="129" t="s">
        <v>149</v>
      </c>
      <c r="G27" s="44">
        <f t="shared" ref="G27:H27" si="4">SUM(G21:G24)</f>
        <v>92592770</v>
      </c>
      <c r="H27" s="44">
        <f t="shared" si="4"/>
        <v>92592770</v>
      </c>
      <c r="I27" s="44">
        <f>SUM(I21:I24)</f>
        <v>74521538</v>
      </c>
      <c r="J27" s="44">
        <f>SUM(J21:J25)</f>
        <v>74521538</v>
      </c>
      <c r="K27" s="44">
        <f>SUM(K21:K24)</f>
        <v>51723340</v>
      </c>
      <c r="L27" s="44">
        <f>SUM(L21:L25)</f>
        <v>51723340</v>
      </c>
      <c r="M27" s="44">
        <f>SUM(M21:M24)</f>
        <v>42471624</v>
      </c>
      <c r="N27" s="44">
        <f>SUM(N21:N25)</f>
        <v>42471624</v>
      </c>
      <c r="O27" s="44">
        <f>SUM(O21:O24)</f>
        <v>20619081</v>
      </c>
      <c r="P27" s="44">
        <f>SUM(P21:P25)</f>
        <v>20619081</v>
      </c>
      <c r="Q27" s="39"/>
      <c r="R27" s="44">
        <f>SUM(R21:R24)</f>
        <v>13229677</v>
      </c>
      <c r="S27" s="44">
        <f>SUM(S21:S25)</f>
        <v>13229677</v>
      </c>
    </row>
    <row r="28" spans="2:21" x14ac:dyDescent="0.25">
      <c r="B28" s="130"/>
      <c r="C28" s="131" t="s">
        <v>92</v>
      </c>
      <c r="D28" s="125"/>
      <c r="E28" s="125"/>
      <c r="F28" s="125"/>
      <c r="G28" s="69"/>
      <c r="H28" s="69"/>
      <c r="I28" s="69"/>
      <c r="J28" s="69"/>
      <c r="K28" s="69"/>
      <c r="L28" s="69"/>
      <c r="M28" s="45"/>
      <c r="N28" s="45"/>
      <c r="O28" s="45"/>
      <c r="P28" s="45"/>
      <c r="Q28" s="39"/>
      <c r="R28" s="45"/>
      <c r="S28" s="45"/>
    </row>
    <row r="29" spans="2:21" x14ac:dyDescent="0.25">
      <c r="B29" s="40" t="s">
        <v>356</v>
      </c>
      <c r="C29" s="38"/>
      <c r="D29" s="38"/>
      <c r="E29" s="38"/>
      <c r="F29" s="38"/>
      <c r="G29" s="36">
        <f>2053333+2566667</f>
        <v>4620000</v>
      </c>
      <c r="H29" s="36"/>
      <c r="I29" s="36">
        <f>5360186+727881</f>
        <v>6088067</v>
      </c>
      <c r="J29" s="36"/>
      <c r="K29" s="36">
        <v>656393</v>
      </c>
      <c r="L29" s="36"/>
      <c r="M29" s="36">
        <v>352755</v>
      </c>
      <c r="N29" s="36"/>
      <c r="O29" s="36">
        <v>5642042</v>
      </c>
      <c r="P29" s="36"/>
      <c r="Q29" s="39"/>
      <c r="R29" s="36">
        <v>1187953</v>
      </c>
      <c r="S29" s="36"/>
    </row>
    <row r="30" spans="2:21" x14ac:dyDescent="0.25">
      <c r="B30" s="40" t="s">
        <v>355</v>
      </c>
      <c r="C30" s="38"/>
      <c r="D30" s="38"/>
      <c r="E30" s="38"/>
      <c r="F30" s="38"/>
      <c r="G30" s="36">
        <v>15292925</v>
      </c>
      <c r="H30" s="36"/>
      <c r="I30" s="36"/>
      <c r="J30" s="36"/>
      <c r="K30" s="36"/>
      <c r="L30" s="36"/>
      <c r="M30" s="36"/>
      <c r="N30" s="36"/>
      <c r="O30" s="36">
        <v>202251</v>
      </c>
      <c r="P30" s="36"/>
      <c r="Q30" s="39"/>
      <c r="R30" s="36">
        <v>682574</v>
      </c>
      <c r="S30" s="36"/>
    </row>
    <row r="31" spans="2:21" x14ac:dyDescent="0.25">
      <c r="B31" s="24" t="s">
        <v>94</v>
      </c>
      <c r="C31" s="38"/>
      <c r="D31" s="38"/>
      <c r="E31" s="38"/>
      <c r="F31" s="38"/>
      <c r="G31" s="36"/>
      <c r="H31" s="36"/>
      <c r="I31" s="36">
        <v>4546528</v>
      </c>
      <c r="J31" s="36"/>
      <c r="K31" s="36">
        <v>2251425</v>
      </c>
      <c r="L31" s="36"/>
      <c r="M31" s="36">
        <v>4279500</v>
      </c>
      <c r="N31" s="36"/>
      <c r="O31" s="36">
        <v>1260000</v>
      </c>
      <c r="P31" s="36"/>
      <c r="Q31" s="39"/>
      <c r="R31" s="36">
        <v>0</v>
      </c>
      <c r="S31" s="36"/>
    </row>
    <row r="32" spans="2:21" hidden="1" x14ac:dyDescent="0.25">
      <c r="B32" s="24" t="s">
        <v>260</v>
      </c>
      <c r="C32" s="38"/>
      <c r="D32" s="38"/>
      <c r="E32" s="38"/>
      <c r="F32" s="38"/>
      <c r="G32" s="36"/>
      <c r="H32" s="36"/>
      <c r="I32" s="36"/>
      <c r="J32" s="36"/>
      <c r="K32" s="36">
        <v>2148000</v>
      </c>
      <c r="L32" s="36"/>
      <c r="M32" s="36">
        <v>2627700</v>
      </c>
      <c r="N32" s="36"/>
      <c r="O32" s="36"/>
      <c r="P32" s="36"/>
      <c r="Q32" s="39"/>
      <c r="R32" s="36"/>
      <c r="S32" s="36"/>
    </row>
    <row r="33" spans="2:20" hidden="1" x14ac:dyDescent="0.25">
      <c r="B33" s="24" t="s">
        <v>184</v>
      </c>
      <c r="C33" s="38"/>
      <c r="D33" s="38"/>
      <c r="E33" s="38"/>
      <c r="F33" s="38"/>
      <c r="G33" s="36"/>
      <c r="H33" s="36"/>
      <c r="I33" s="36"/>
      <c r="J33" s="36"/>
      <c r="K33" s="36"/>
      <c r="L33" s="36"/>
      <c r="M33" s="36">
        <f>+O34</f>
        <v>167629</v>
      </c>
      <c r="N33" s="36"/>
      <c r="O33" s="36"/>
      <c r="P33" s="36"/>
      <c r="Q33" s="39"/>
      <c r="R33" s="36"/>
      <c r="S33" s="36"/>
    </row>
    <row r="34" spans="2:20" hidden="1" x14ac:dyDescent="0.25">
      <c r="B34" s="40" t="s">
        <v>228</v>
      </c>
      <c r="C34" s="38"/>
      <c r="D34" s="38"/>
      <c r="E34" s="38"/>
      <c r="F34" s="38"/>
      <c r="G34" s="36"/>
      <c r="H34" s="36"/>
      <c r="I34" s="36"/>
      <c r="J34" s="36"/>
      <c r="K34" s="36"/>
      <c r="L34" s="36"/>
      <c r="M34" s="36"/>
      <c r="N34" s="36"/>
      <c r="O34" s="36">
        <f>+P36-7104293</f>
        <v>167629</v>
      </c>
      <c r="P34" s="36"/>
      <c r="Q34" s="39"/>
      <c r="R34" s="36"/>
      <c r="S34" s="36">
        <f>1870527-S36</f>
        <v>777882</v>
      </c>
    </row>
    <row r="35" spans="2:20" x14ac:dyDescent="0.25">
      <c r="B35" s="40" t="s">
        <v>229</v>
      </c>
      <c r="C35" s="38"/>
      <c r="D35" s="38"/>
      <c r="E35" s="38"/>
      <c r="F35" s="38"/>
      <c r="G35" s="36"/>
      <c r="H35" s="36"/>
      <c r="I35" s="36">
        <f>+J36-I29-I31</f>
        <v>315332</v>
      </c>
      <c r="J35" s="36"/>
      <c r="K35" s="36"/>
      <c r="L35" s="36"/>
      <c r="M35" s="36">
        <f>7447200-7427584</f>
        <v>19616</v>
      </c>
      <c r="N35" s="36"/>
      <c r="O35" s="36"/>
      <c r="P35" s="36"/>
      <c r="Q35" s="39"/>
      <c r="R35" s="36"/>
      <c r="S35" s="36"/>
      <c r="T35" s="41"/>
    </row>
    <row r="36" spans="2:20" x14ac:dyDescent="0.25">
      <c r="B36" s="24" t="s">
        <v>360</v>
      </c>
      <c r="C36" s="38"/>
      <c r="D36" s="38"/>
      <c r="E36" s="38"/>
      <c r="F36" s="38"/>
      <c r="G36" s="36"/>
      <c r="H36" s="36">
        <v>19912925</v>
      </c>
      <c r="I36" s="36"/>
      <c r="J36" s="36">
        <v>10949927</v>
      </c>
      <c r="K36" s="36"/>
      <c r="L36" s="36">
        <v>5055818</v>
      </c>
      <c r="M36" s="36"/>
      <c r="N36" s="36">
        <f>7177200+270000</f>
        <v>7447200</v>
      </c>
      <c r="O36" s="36"/>
      <c r="P36" s="36">
        <v>7271922</v>
      </c>
      <c r="Q36" s="39"/>
      <c r="R36" s="36"/>
      <c r="S36" s="36">
        <v>1092645</v>
      </c>
      <c r="T36" s="41"/>
    </row>
    <row r="37" spans="2:20" x14ac:dyDescent="0.25">
      <c r="B37" s="24" t="s">
        <v>86</v>
      </c>
      <c r="C37" s="38"/>
      <c r="D37" s="38"/>
      <c r="E37" s="38"/>
      <c r="F37" s="38"/>
      <c r="G37" s="36"/>
      <c r="H37" s="36"/>
      <c r="I37" s="36"/>
      <c r="J37" s="36"/>
      <c r="K37" s="36"/>
      <c r="L37" s="36"/>
      <c r="M37" s="36"/>
      <c r="N37" s="36"/>
      <c r="O37" s="36"/>
      <c r="P37" s="36"/>
      <c r="Q37" s="39"/>
      <c r="R37" s="36"/>
      <c r="S37" s="36"/>
    </row>
    <row r="38" spans="2:20" x14ac:dyDescent="0.25">
      <c r="B38" s="128"/>
      <c r="C38" s="129"/>
      <c r="D38" s="129"/>
      <c r="E38" s="129"/>
      <c r="F38" s="173" t="s">
        <v>149</v>
      </c>
      <c r="G38" s="44">
        <f>SUM(G29:G36)</f>
        <v>19912925</v>
      </c>
      <c r="H38" s="44">
        <f>SUM(H29:H36)</f>
        <v>19912925</v>
      </c>
      <c r="I38" s="44">
        <f t="shared" ref="I38:P38" si="5">SUM(I28:I36)</f>
        <v>10949927</v>
      </c>
      <c r="J38" s="44">
        <f t="shared" si="5"/>
        <v>10949927</v>
      </c>
      <c r="K38" s="44">
        <f t="shared" si="5"/>
        <v>5055818</v>
      </c>
      <c r="L38" s="44">
        <f t="shared" si="5"/>
        <v>5055818</v>
      </c>
      <c r="M38" s="44">
        <f t="shared" si="5"/>
        <v>7447200</v>
      </c>
      <c r="N38" s="44">
        <f t="shared" si="5"/>
        <v>7447200</v>
      </c>
      <c r="O38" s="44">
        <f t="shared" si="5"/>
        <v>7271922</v>
      </c>
      <c r="P38" s="44">
        <f t="shared" si="5"/>
        <v>7271922</v>
      </c>
      <c r="Q38" s="39"/>
      <c r="R38" s="44">
        <f>SUM(R28:R36)</f>
        <v>1870527</v>
      </c>
      <c r="S38" s="44">
        <f>SUM(S28:S36)</f>
        <v>1870527</v>
      </c>
    </row>
    <row r="39" spans="2:20" x14ac:dyDescent="0.25">
      <c r="B39" s="24"/>
      <c r="C39" s="141" t="s">
        <v>93</v>
      </c>
      <c r="D39" s="38"/>
      <c r="E39" s="38"/>
      <c r="F39" s="38"/>
      <c r="G39" s="83"/>
      <c r="H39" s="43"/>
      <c r="I39" s="43"/>
      <c r="J39" s="43"/>
      <c r="K39" s="43"/>
      <c r="L39" s="43"/>
      <c r="M39" s="45"/>
      <c r="N39" s="45"/>
      <c r="O39" s="45"/>
      <c r="P39" s="45"/>
      <c r="Q39" s="70"/>
      <c r="R39" s="46"/>
      <c r="S39" s="45"/>
    </row>
    <row r="40" spans="2:20" x14ac:dyDescent="0.25">
      <c r="B40" s="24" t="s">
        <v>192</v>
      </c>
      <c r="C40" s="38"/>
      <c r="D40" s="38"/>
      <c r="E40" s="38"/>
      <c r="F40" s="38"/>
      <c r="G40" s="36">
        <v>9636341</v>
      </c>
      <c r="H40" s="36"/>
      <c r="I40" s="36">
        <v>9726442</v>
      </c>
      <c r="J40" s="36"/>
      <c r="K40" s="36">
        <f>+L41</f>
        <v>8402210</v>
      </c>
      <c r="L40" s="36"/>
      <c r="M40" s="36">
        <f>+'PP&amp;E'!J18</f>
        <v>3922517.4766000002</v>
      </c>
      <c r="N40" s="36"/>
      <c r="O40" s="36"/>
      <c r="P40" s="36"/>
      <c r="Q40" s="70"/>
      <c r="R40" s="47"/>
      <c r="S40" s="36"/>
    </row>
    <row r="41" spans="2:20" x14ac:dyDescent="0.25">
      <c r="B41" s="24" t="s">
        <v>200</v>
      </c>
      <c r="C41" s="38"/>
      <c r="D41" s="38"/>
      <c r="E41" s="38"/>
      <c r="F41" s="38"/>
      <c r="G41" s="36"/>
      <c r="H41" s="36">
        <v>9636341</v>
      </c>
      <c r="I41" s="36"/>
      <c r="J41" s="36">
        <f>+I40</f>
        <v>9726442</v>
      </c>
      <c r="K41" s="36"/>
      <c r="L41" s="36">
        <v>8402210</v>
      </c>
      <c r="M41" s="36"/>
      <c r="N41" s="36">
        <f>+M40</f>
        <v>3922517.4766000002</v>
      </c>
      <c r="O41" s="36"/>
      <c r="P41" s="36"/>
      <c r="Q41" s="70"/>
      <c r="R41" s="47"/>
      <c r="S41" s="36"/>
    </row>
    <row r="42" spans="2:20" ht="29.45" customHeight="1" x14ac:dyDescent="0.25">
      <c r="B42" s="311" t="s">
        <v>226</v>
      </c>
      <c r="C42" s="312"/>
      <c r="D42" s="312"/>
      <c r="E42" s="312"/>
      <c r="F42" s="312"/>
      <c r="G42" s="36"/>
      <c r="H42" s="36"/>
      <c r="I42" s="36"/>
      <c r="J42" s="36"/>
      <c r="K42" s="36"/>
      <c r="L42" s="36"/>
      <c r="M42" s="36"/>
      <c r="N42" s="36"/>
      <c r="O42" s="36"/>
      <c r="P42" s="36"/>
      <c r="Q42" s="70"/>
      <c r="R42" s="47"/>
      <c r="S42" s="36"/>
    </row>
    <row r="43" spans="2:20" x14ac:dyDescent="0.25">
      <c r="B43" s="24"/>
      <c r="C43" s="38"/>
      <c r="D43" s="38"/>
      <c r="E43" s="38"/>
      <c r="F43" s="38" t="s">
        <v>149</v>
      </c>
      <c r="G43" s="44">
        <f>+G40+G41</f>
        <v>9636341</v>
      </c>
      <c r="H43" s="44">
        <f>+H40+H41</f>
        <v>9636341</v>
      </c>
      <c r="I43" s="44">
        <f>+I40</f>
        <v>9726442</v>
      </c>
      <c r="J43" s="44">
        <f>+J41</f>
        <v>9726442</v>
      </c>
      <c r="K43" s="44">
        <f>+K40</f>
        <v>8402210</v>
      </c>
      <c r="L43" s="44">
        <f>+L41</f>
        <v>8402210</v>
      </c>
      <c r="M43" s="44">
        <f>+M40</f>
        <v>3922517.4766000002</v>
      </c>
      <c r="N43" s="44">
        <f>+N41</f>
        <v>3922517.4766000002</v>
      </c>
      <c r="O43" s="45"/>
      <c r="P43" s="45"/>
      <c r="Q43" s="39"/>
      <c r="R43" s="46"/>
      <c r="S43" s="45"/>
    </row>
    <row r="44" spans="2:20" x14ac:dyDescent="0.25">
      <c r="B44" s="130"/>
      <c r="C44" s="131" t="s">
        <v>191</v>
      </c>
      <c r="D44" s="125"/>
      <c r="E44" s="125"/>
      <c r="F44" s="125"/>
      <c r="G44" s="69"/>
      <c r="H44" s="69"/>
      <c r="I44" s="69"/>
      <c r="J44" s="69"/>
      <c r="K44" s="69"/>
      <c r="L44" s="69"/>
      <c r="M44" s="45"/>
      <c r="N44" s="45"/>
      <c r="O44" s="45"/>
      <c r="P44" s="45"/>
      <c r="Q44" s="39"/>
      <c r="R44" s="46"/>
      <c r="S44" s="45"/>
    </row>
    <row r="45" spans="2:20" x14ac:dyDescent="0.25">
      <c r="B45" s="40" t="s">
        <v>193</v>
      </c>
      <c r="C45" s="38"/>
      <c r="D45" s="38"/>
      <c r="E45" s="38"/>
      <c r="F45" s="38"/>
      <c r="G45" s="36">
        <v>11525237</v>
      </c>
      <c r="H45" s="36"/>
      <c r="I45" s="36">
        <f>+K45-1836936</f>
        <v>14471318.003400002</v>
      </c>
      <c r="J45" s="36"/>
      <c r="K45" s="36">
        <f>+L53-K48-K46</f>
        <v>16308254.003400002</v>
      </c>
      <c r="L45" s="36"/>
      <c r="M45" s="36">
        <f>+N53-M49</f>
        <v>7213414</v>
      </c>
      <c r="N45" s="36"/>
      <c r="O45" s="36" t="e">
        <f>+P51+P53+P50</f>
        <v>#REF!</v>
      </c>
      <c r="P45" s="36"/>
      <c r="Q45" s="39"/>
      <c r="R45" s="47">
        <v>0</v>
      </c>
      <c r="S45" s="36"/>
      <c r="T45" s="39"/>
    </row>
    <row r="46" spans="2:20" x14ac:dyDescent="0.25">
      <c r="B46" s="24" t="s">
        <v>230</v>
      </c>
      <c r="C46" s="38"/>
      <c r="D46" s="38"/>
      <c r="E46" s="38"/>
      <c r="F46" s="38"/>
      <c r="G46" s="36">
        <f>+I46+I57+I62</f>
        <v>3522607.4351480007</v>
      </c>
      <c r="H46" s="70"/>
      <c r="I46" s="36">
        <f>+K46+K62</f>
        <v>4078003.9351480003</v>
      </c>
      <c r="J46" s="36"/>
      <c r="K46" s="36">
        <f>+M62</f>
        <v>3486156.52</v>
      </c>
      <c r="L46" s="36"/>
      <c r="M46" s="36"/>
      <c r="N46" s="36"/>
      <c r="O46" s="36"/>
      <c r="P46" s="36"/>
      <c r="Q46" s="39"/>
      <c r="R46" s="47"/>
      <c r="S46" s="36"/>
      <c r="T46" s="41"/>
    </row>
    <row r="47" spans="2:20" x14ac:dyDescent="0.25">
      <c r="B47" s="24" t="s">
        <v>327</v>
      </c>
      <c r="C47" s="38"/>
      <c r="D47" s="38"/>
      <c r="E47" s="38"/>
      <c r="F47" s="38"/>
      <c r="G47" s="36">
        <f>+I40</f>
        <v>9726442</v>
      </c>
      <c r="H47" s="70"/>
      <c r="I47" s="36"/>
      <c r="J47" s="36"/>
      <c r="K47" s="36"/>
      <c r="L47" s="36"/>
      <c r="M47" s="36"/>
      <c r="N47" s="36"/>
      <c r="O47" s="36"/>
      <c r="P47" s="36"/>
      <c r="Q47" s="39"/>
      <c r="R47" s="47"/>
      <c r="S47" s="36"/>
      <c r="T47" s="41"/>
    </row>
    <row r="48" spans="2:20" x14ac:dyDescent="0.25">
      <c r="B48" s="24" t="s">
        <v>337</v>
      </c>
      <c r="C48" s="38"/>
      <c r="D48" s="38"/>
      <c r="E48" s="38"/>
      <c r="F48" s="38"/>
      <c r="G48" s="36"/>
      <c r="H48" s="70">
        <f>+I17-J16+I35</f>
        <v>397693</v>
      </c>
      <c r="I48" s="36"/>
      <c r="J48" s="36"/>
      <c r="K48" s="36">
        <f>+M40</f>
        <v>3922517.4766000002</v>
      </c>
      <c r="L48" s="36"/>
      <c r="M48" s="36"/>
      <c r="N48" s="36"/>
      <c r="O48" s="36"/>
      <c r="P48" s="36"/>
      <c r="Q48" s="39"/>
      <c r="R48" s="47"/>
      <c r="S48" s="36"/>
      <c r="T48" s="41"/>
    </row>
    <row r="49" spans="2:20" hidden="1" outlineLevel="1" x14ac:dyDescent="0.25">
      <c r="B49" s="24" t="s">
        <v>185</v>
      </c>
      <c r="C49" s="38"/>
      <c r="D49" s="38"/>
      <c r="E49" s="38"/>
      <c r="F49" s="38"/>
      <c r="G49" s="36"/>
      <c r="I49" s="36"/>
      <c r="K49" s="36"/>
      <c r="M49" s="36"/>
      <c r="N49" s="43"/>
      <c r="O49" s="36"/>
      <c r="P49" s="36"/>
      <c r="Q49" s="39"/>
      <c r="R49" s="36"/>
      <c r="S49" s="36"/>
    </row>
    <row r="50" spans="2:20" hidden="1" outlineLevel="1" x14ac:dyDescent="0.25">
      <c r="B50" s="40" t="s">
        <v>152</v>
      </c>
      <c r="C50" s="38"/>
      <c r="D50" s="38"/>
      <c r="E50" s="38"/>
      <c r="F50" s="38"/>
      <c r="G50" s="36"/>
      <c r="H50" s="36"/>
      <c r="I50" s="36"/>
      <c r="J50" s="36"/>
      <c r="K50" s="36"/>
      <c r="L50" s="36"/>
      <c r="M50" s="36"/>
      <c r="N50" s="36"/>
      <c r="O50" s="36"/>
      <c r="P50" s="36" t="e">
        <f>+R69+16101</f>
        <v>#REF!</v>
      </c>
      <c r="Q50" s="39"/>
      <c r="R50" s="47"/>
      <c r="S50" s="36">
        <v>0</v>
      </c>
    </row>
    <row r="51" spans="2:20" hidden="1" outlineLevel="1" x14ac:dyDescent="0.25">
      <c r="B51" s="24" t="s">
        <v>270</v>
      </c>
      <c r="C51" s="38"/>
      <c r="D51" s="38"/>
      <c r="E51" s="38"/>
      <c r="F51" s="38"/>
      <c r="G51" s="36"/>
      <c r="H51" s="36"/>
      <c r="I51" s="36"/>
      <c r="J51" s="36">
        <v>0</v>
      </c>
      <c r="K51" s="36"/>
      <c r="L51" s="36">
        <v>0</v>
      </c>
      <c r="M51" s="36"/>
      <c r="N51" s="43"/>
      <c r="O51" s="36"/>
      <c r="P51" s="36">
        <f>+S25</f>
        <v>416926</v>
      </c>
      <c r="Q51" s="39"/>
      <c r="R51" s="47"/>
      <c r="S51" s="36">
        <v>0</v>
      </c>
    </row>
    <row r="52" spans="2:20" hidden="1" outlineLevel="1" x14ac:dyDescent="0.25">
      <c r="B52" s="24" t="s">
        <v>271</v>
      </c>
      <c r="C52" s="38"/>
      <c r="D52" s="38"/>
      <c r="E52" s="38"/>
      <c r="F52" s="38"/>
      <c r="G52" s="36"/>
      <c r="H52" s="36"/>
      <c r="I52" s="36"/>
      <c r="J52" s="36"/>
      <c r="K52" s="36"/>
      <c r="L52" s="36"/>
      <c r="M52" s="36"/>
      <c r="N52" s="36">
        <v>0</v>
      </c>
      <c r="O52" s="36"/>
      <c r="P52" s="36"/>
      <c r="Q52" s="39"/>
      <c r="R52" s="47"/>
      <c r="S52" s="36"/>
    </row>
    <row r="53" spans="2:20" collapsed="1" x14ac:dyDescent="0.25">
      <c r="B53" s="24" t="s">
        <v>202</v>
      </c>
      <c r="C53" s="38"/>
      <c r="D53" s="38"/>
      <c r="E53" s="38"/>
      <c r="F53" s="38"/>
      <c r="G53" s="36"/>
      <c r="H53" s="36">
        <f>+J53+J23</f>
        <v>24376593.938548002</v>
      </c>
      <c r="I53" s="36"/>
      <c r="J53" s="36">
        <f>+I45+I46</f>
        <v>18549321.938548002</v>
      </c>
      <c r="K53" s="36"/>
      <c r="L53" s="36">
        <f>+N53+N23+795508-138160</f>
        <v>23716928</v>
      </c>
      <c r="M53" s="36"/>
      <c r="N53" s="36">
        <f>+P53+P23</f>
        <v>7213414</v>
      </c>
      <c r="O53" s="36"/>
      <c r="P53" s="36">
        <f>+S23</f>
        <v>1475332</v>
      </c>
      <c r="Q53" s="39"/>
      <c r="R53" s="47"/>
      <c r="S53" s="36">
        <v>0</v>
      </c>
    </row>
    <row r="54" spans="2:20" x14ac:dyDescent="0.25">
      <c r="B54" s="24" t="s">
        <v>151</v>
      </c>
      <c r="C54" s="38"/>
      <c r="D54" s="38"/>
      <c r="E54" s="38"/>
      <c r="F54" s="38"/>
      <c r="G54" s="43"/>
      <c r="H54" s="43"/>
      <c r="I54" s="43"/>
      <c r="J54" s="43"/>
      <c r="K54" s="43"/>
      <c r="L54" s="43"/>
      <c r="M54" s="36"/>
      <c r="N54" s="49"/>
      <c r="O54" s="36"/>
      <c r="P54" s="36"/>
      <c r="R54" s="24"/>
      <c r="S54" s="43"/>
    </row>
    <row r="55" spans="2:20" x14ac:dyDescent="0.25">
      <c r="B55" s="128"/>
      <c r="C55" s="129"/>
      <c r="D55" s="129"/>
      <c r="E55" s="129"/>
      <c r="F55" s="129" t="s">
        <v>149</v>
      </c>
      <c r="G55" s="44">
        <f>SUM(G45:G54)</f>
        <v>24774286.435148001</v>
      </c>
      <c r="H55" s="44">
        <f>SUM(H46:H54)</f>
        <v>24774286.938548002</v>
      </c>
      <c r="I55" s="44">
        <f>SUM(I44:I53)</f>
        <v>18549321.938548002</v>
      </c>
      <c r="J55" s="44">
        <f>SUM(J44:J53)</f>
        <v>18549321.938548002</v>
      </c>
      <c r="K55" s="44">
        <f t="shared" ref="K55:P55" si="6">SUM(K44:K53)</f>
        <v>23716928</v>
      </c>
      <c r="L55" s="44">
        <f t="shared" si="6"/>
        <v>23716928</v>
      </c>
      <c r="M55" s="44">
        <f t="shared" si="6"/>
        <v>7213414</v>
      </c>
      <c r="N55" s="44">
        <f t="shared" si="6"/>
        <v>7213414</v>
      </c>
      <c r="O55" s="44" t="e">
        <f t="shared" si="6"/>
        <v>#REF!</v>
      </c>
      <c r="P55" s="44" t="e">
        <f t="shared" si="6"/>
        <v>#REF!</v>
      </c>
      <c r="R55" s="44">
        <f>SUM(R44:R53)</f>
        <v>0</v>
      </c>
      <c r="S55" s="44">
        <f>SUM(S44:S53)</f>
        <v>0</v>
      </c>
      <c r="T55" s="41">
        <f>+G55-H55</f>
        <v>-0.50340000167489052</v>
      </c>
    </row>
    <row r="56" spans="2:20" x14ac:dyDescent="0.25">
      <c r="B56" s="24"/>
      <c r="C56" s="141" t="s">
        <v>320</v>
      </c>
      <c r="D56" s="38"/>
      <c r="E56" s="38"/>
      <c r="F56" s="38"/>
      <c r="G56" s="43"/>
      <c r="H56" s="43"/>
      <c r="I56" s="43"/>
      <c r="J56" s="43"/>
      <c r="K56" s="43"/>
      <c r="L56" s="43"/>
      <c r="M56" s="45"/>
      <c r="N56" s="45"/>
      <c r="O56" s="45"/>
      <c r="P56" s="45"/>
      <c r="Q56" s="38"/>
      <c r="R56" s="46"/>
      <c r="S56" s="36"/>
    </row>
    <row r="57" spans="2:20" x14ac:dyDescent="0.25">
      <c r="B57" s="24" t="s">
        <v>230</v>
      </c>
      <c r="C57" s="38"/>
      <c r="D57" s="38"/>
      <c r="E57" s="38"/>
      <c r="F57" s="38"/>
      <c r="G57" s="83">
        <v>0</v>
      </c>
      <c r="H57" s="43"/>
      <c r="I57" s="83">
        <v>419396</v>
      </c>
      <c r="J57" s="43"/>
      <c r="K57" s="83"/>
      <c r="L57" s="43"/>
      <c r="M57" s="36">
        <f>N18*0.22</f>
        <v>1847711.58</v>
      </c>
      <c r="N57" s="36"/>
      <c r="O57" s="36"/>
      <c r="P57" s="36"/>
      <c r="Q57" s="38"/>
      <c r="R57" s="47"/>
      <c r="S57" s="36"/>
    </row>
    <row r="58" spans="2:20" x14ac:dyDescent="0.25">
      <c r="B58" s="24" t="s">
        <v>231</v>
      </c>
      <c r="C58" s="38"/>
      <c r="D58" s="38"/>
      <c r="E58" s="38"/>
      <c r="F58" s="38"/>
      <c r="G58" s="43"/>
      <c r="H58" s="83">
        <v>0</v>
      </c>
      <c r="I58" s="43"/>
      <c r="J58" s="83">
        <f>+I57</f>
        <v>419396</v>
      </c>
      <c r="K58" s="43"/>
      <c r="L58" s="83"/>
      <c r="M58" s="36"/>
      <c r="N58" s="36">
        <f>+M57</f>
        <v>1847711.58</v>
      </c>
      <c r="O58" s="36"/>
      <c r="P58" s="36"/>
      <c r="Q58" s="38"/>
      <c r="R58" s="47"/>
      <c r="S58" s="36"/>
    </row>
    <row r="59" spans="2:20" x14ac:dyDescent="0.25">
      <c r="B59" s="24" t="s">
        <v>321</v>
      </c>
      <c r="C59" s="38"/>
      <c r="D59" s="38"/>
      <c r="E59" s="38"/>
      <c r="F59" s="38"/>
      <c r="G59" s="43"/>
      <c r="H59" s="43"/>
      <c r="I59" s="43"/>
      <c r="J59" s="43"/>
      <c r="K59" s="43"/>
      <c r="L59" s="43"/>
      <c r="M59" s="36"/>
      <c r="N59" s="36"/>
      <c r="O59" s="36"/>
      <c r="P59" s="36"/>
      <c r="Q59" s="38"/>
      <c r="R59" s="47"/>
      <c r="S59" s="36"/>
    </row>
    <row r="60" spans="2:20" x14ac:dyDescent="0.25">
      <c r="B60" s="153" t="s">
        <v>322</v>
      </c>
      <c r="C60" s="129"/>
      <c r="D60" s="129"/>
      <c r="E60" s="129"/>
      <c r="F60" s="129"/>
      <c r="G60" s="67"/>
      <c r="H60" s="67"/>
      <c r="I60" s="67"/>
      <c r="J60" s="67"/>
      <c r="K60" s="67"/>
      <c r="L60" s="67"/>
      <c r="M60" s="49"/>
      <c r="N60" s="49"/>
      <c r="O60" s="49"/>
      <c r="P60" s="49"/>
      <c r="Q60" s="38"/>
      <c r="R60" s="79"/>
      <c r="S60" s="49"/>
    </row>
    <row r="61" spans="2:20" x14ac:dyDescent="0.25">
      <c r="B61" s="24"/>
      <c r="C61" s="141" t="s">
        <v>338</v>
      </c>
      <c r="D61" s="38"/>
      <c r="E61" s="38"/>
      <c r="F61" s="38"/>
      <c r="G61" s="43"/>
      <c r="H61" s="43"/>
      <c r="I61" s="43"/>
      <c r="J61" s="43"/>
      <c r="K61" s="43"/>
      <c r="L61" s="43"/>
      <c r="M61" s="45"/>
      <c r="N61" s="45"/>
      <c r="O61" s="45"/>
      <c r="P61" s="45"/>
      <c r="Q61" s="38"/>
      <c r="R61" s="46"/>
      <c r="S61" s="36"/>
    </row>
    <row r="62" spans="2:20" x14ac:dyDescent="0.25">
      <c r="B62" s="24" t="s">
        <v>230</v>
      </c>
      <c r="C62" s="38"/>
      <c r="D62" s="38"/>
      <c r="E62" s="38"/>
      <c r="F62" s="38"/>
      <c r="G62" s="83">
        <f>(+H23-H41)*0.25</f>
        <v>-358270.25</v>
      </c>
      <c r="H62" s="43"/>
      <c r="I62" s="83">
        <f>(+J23-J41)*0.25</f>
        <v>-974792.5</v>
      </c>
      <c r="J62" s="43"/>
      <c r="K62" s="83">
        <f>(-'BG '!T25-N23)*0.22</f>
        <v>591847.41514800023</v>
      </c>
      <c r="L62" s="43"/>
      <c r="M62" s="36">
        <f>N23*0.22</f>
        <v>3486156.52</v>
      </c>
      <c r="N62" s="36"/>
      <c r="O62" s="36"/>
      <c r="P62" s="36"/>
      <c r="Q62" s="38"/>
      <c r="R62" s="47"/>
      <c r="S62" s="36"/>
    </row>
    <row r="63" spans="2:20" x14ac:dyDescent="0.25">
      <c r="B63" s="24" t="s">
        <v>231</v>
      </c>
      <c r="C63" s="38"/>
      <c r="D63" s="38"/>
      <c r="E63" s="38"/>
      <c r="F63" s="38"/>
      <c r="G63" s="43"/>
      <c r="H63" s="83">
        <f>+G62</f>
        <v>-358270.25</v>
      </c>
      <c r="I63" s="43"/>
      <c r="J63" s="83">
        <f>+I62</f>
        <v>-974792.5</v>
      </c>
      <c r="K63" s="43"/>
      <c r="L63" s="83">
        <f>+K62</f>
        <v>591847.41514800023</v>
      </c>
      <c r="M63" s="36"/>
      <c r="N63" s="36">
        <f>+M62</f>
        <v>3486156.52</v>
      </c>
      <c r="O63" s="36"/>
      <c r="P63" s="36"/>
      <c r="Q63" s="38"/>
      <c r="R63" s="47"/>
      <c r="S63" s="36"/>
    </row>
    <row r="64" spans="2:20" x14ac:dyDescent="0.25">
      <c r="B64" s="24" t="s">
        <v>268</v>
      </c>
      <c r="C64" s="38"/>
      <c r="D64" s="38"/>
      <c r="E64" s="38"/>
      <c r="F64" s="38"/>
      <c r="G64" s="43"/>
      <c r="H64" s="43"/>
      <c r="I64" s="43"/>
      <c r="J64" s="43"/>
      <c r="K64" s="43"/>
      <c r="L64" s="43"/>
      <c r="M64" s="36"/>
      <c r="N64" s="36"/>
      <c r="O64" s="36"/>
      <c r="P64" s="36"/>
      <c r="Q64" s="38"/>
      <c r="R64" s="47"/>
      <c r="S64" s="36"/>
    </row>
    <row r="65" spans="2:19" x14ac:dyDescent="0.25">
      <c r="B65" s="24" t="s">
        <v>302</v>
      </c>
      <c r="C65" s="38"/>
      <c r="D65" s="38"/>
      <c r="E65" s="38"/>
      <c r="F65" s="38"/>
      <c r="G65" s="43"/>
      <c r="H65" s="67"/>
      <c r="I65" s="67"/>
      <c r="J65" s="67"/>
      <c r="K65" s="67"/>
      <c r="L65" s="67"/>
      <c r="M65" s="49"/>
      <c r="N65" s="49"/>
      <c r="O65" s="49"/>
      <c r="P65" s="49"/>
      <c r="Q65" s="38"/>
      <c r="R65" s="79"/>
      <c r="S65" s="49"/>
    </row>
    <row r="66" spans="2:19" x14ac:dyDescent="0.25">
      <c r="B66" s="128"/>
      <c r="C66" s="129"/>
      <c r="D66" s="129"/>
      <c r="E66" s="129"/>
      <c r="F66" s="129" t="s">
        <v>149</v>
      </c>
      <c r="G66" s="68"/>
      <c r="H66" s="67"/>
      <c r="I66" s="165">
        <f>SUM(I62:I65)</f>
        <v>-974792.5</v>
      </c>
      <c r="J66" s="165">
        <f>SUM(J62:J65)</f>
        <v>-974792.5</v>
      </c>
      <c r="K66" s="67"/>
      <c r="L66" s="67"/>
      <c r="M66" s="49"/>
      <c r="N66" s="49"/>
      <c r="O66" s="49"/>
      <c r="P66" s="49"/>
      <c r="Q66" s="38"/>
      <c r="R66" s="79"/>
      <c r="S66" s="49"/>
    </row>
    <row r="67" spans="2:19" ht="15.75" thickBot="1" x14ac:dyDescent="0.3">
      <c r="B67" s="125"/>
      <c r="C67" s="125"/>
      <c r="D67" s="125"/>
      <c r="E67" s="125"/>
      <c r="F67" s="78" t="s">
        <v>150</v>
      </c>
      <c r="G67" s="96">
        <f>+G11+G20+G27+G38+G55+G43+G62</f>
        <v>161788426.185148</v>
      </c>
      <c r="H67" s="96">
        <f>+H11+H20+H27+H38+H55+H43+H62</f>
        <v>162146696.938548</v>
      </c>
      <c r="I67" s="96">
        <f>+I11+I20+I27+I38+I55+I43+I62</f>
        <v>124036288.438548</v>
      </c>
      <c r="J67" s="96">
        <f>+J11+J20+J27+J38+J55+J43+J63</f>
        <v>124036288.438548</v>
      </c>
      <c r="K67" s="44">
        <f>+K11+K20+K27+K38+K55+K43+K62</f>
        <v>95126716.415148005</v>
      </c>
      <c r="L67" s="44">
        <f>+L11+L20+L27+L38+L55+L43+L63</f>
        <v>95126716.415148005</v>
      </c>
      <c r="M67" s="44" t="e">
        <f>+M11+M20+M27+M38+M55+M43+M62</f>
        <v>#REF!</v>
      </c>
      <c r="N67" s="44">
        <f>+N11+N20+N27+N38+N55+N43+N63</f>
        <v>73263238.996600002</v>
      </c>
      <c r="O67" s="44" t="e">
        <f>+O11+O20+O27+O38+O55+O43</f>
        <v>#REF!</v>
      </c>
      <c r="P67" s="44" t="e">
        <f>+P11+P20+P27+P38+P55+P43</f>
        <v>#REF!</v>
      </c>
      <c r="Q67" s="39"/>
      <c r="R67" s="48">
        <f>+R11+R20+R27+R38</f>
        <v>17692260</v>
      </c>
      <c r="S67" s="49">
        <f>+S11+S20+S27+S38</f>
        <v>18582456</v>
      </c>
    </row>
    <row r="68" spans="2:19" ht="15.75" thickTop="1" x14ac:dyDescent="0.25">
      <c r="M68" s="41"/>
    </row>
    <row r="69" spans="2:19" hidden="1" x14ac:dyDescent="0.25">
      <c r="B69" s="130" t="s">
        <v>204</v>
      </c>
      <c r="C69" s="125"/>
      <c r="D69" s="125"/>
      <c r="E69" s="125"/>
      <c r="F69" s="125"/>
      <c r="G69" s="125"/>
      <c r="H69" s="125"/>
      <c r="I69" s="125"/>
      <c r="J69" s="125"/>
      <c r="K69" s="125"/>
      <c r="L69" s="125"/>
      <c r="M69" s="174" t="e">
        <f>+M17+M33+M45</f>
        <v>#REF!</v>
      </c>
      <c r="N69" s="125"/>
      <c r="O69" s="174" t="e">
        <f>+PAT!I102+O45</f>
        <v>#REF!</v>
      </c>
      <c r="P69" s="78"/>
      <c r="R69" s="77" t="e">
        <f>+#REF!-S8-S34</f>
        <v>#REF!</v>
      </c>
      <c r="S69" s="78"/>
    </row>
    <row r="70" spans="2:19" hidden="1" x14ac:dyDescent="0.25">
      <c r="B70" s="24" t="s">
        <v>224</v>
      </c>
      <c r="C70" s="38"/>
      <c r="D70" s="38"/>
      <c r="E70" s="38"/>
      <c r="F70" s="38"/>
      <c r="G70" s="38"/>
      <c r="H70" s="38"/>
      <c r="I70" s="38"/>
      <c r="J70" s="38"/>
      <c r="K70" s="38"/>
      <c r="L70" s="38"/>
      <c r="M70" s="126" t="e">
        <f>+#REF!-N34</f>
        <v>#REF!</v>
      </c>
      <c r="N70" s="38"/>
      <c r="O70" s="126" t="e">
        <f>+O8+#REF!+O34</f>
        <v>#REF!</v>
      </c>
      <c r="P70" s="102"/>
      <c r="R70" s="24"/>
      <c r="S70" s="102"/>
    </row>
    <row r="71" spans="2:19" hidden="1" x14ac:dyDescent="0.25">
      <c r="B71" s="175" t="s">
        <v>225</v>
      </c>
      <c r="C71" s="176"/>
      <c r="D71" s="176"/>
      <c r="E71" s="176"/>
      <c r="F71" s="176"/>
      <c r="G71" s="176"/>
      <c r="H71" s="176"/>
      <c r="I71" s="176"/>
      <c r="J71" s="176"/>
      <c r="K71" s="176"/>
      <c r="L71" s="176"/>
      <c r="M71" s="177" t="e">
        <f>+M69+M70</f>
        <v>#REF!</v>
      </c>
      <c r="N71" s="176"/>
      <c r="O71" s="177" t="e">
        <f>+O69+O70</f>
        <v>#REF!</v>
      </c>
      <c r="P71" s="178"/>
      <c r="R71" s="179" t="e">
        <f>+R69+R70</f>
        <v>#REF!</v>
      </c>
      <c r="S71" s="178"/>
    </row>
    <row r="72" spans="2:19" x14ac:dyDescent="0.25">
      <c r="B72" s="38"/>
      <c r="C72" s="38"/>
      <c r="D72" s="38"/>
      <c r="E72" s="38"/>
      <c r="F72" s="38"/>
      <c r="G72" s="38"/>
      <c r="H72" s="38"/>
      <c r="I72" s="38"/>
      <c r="J72" s="38"/>
      <c r="K72" s="38"/>
      <c r="L72" s="38"/>
      <c r="M72" s="126"/>
      <c r="N72" s="38"/>
      <c r="O72" s="126"/>
      <c r="P72" s="38"/>
      <c r="R72" s="126"/>
      <c r="S72" s="38"/>
    </row>
    <row r="73" spans="2:19" x14ac:dyDescent="0.25">
      <c r="I73" s="41"/>
    </row>
    <row r="74" spans="2:19" x14ac:dyDescent="0.25">
      <c r="M74" s="38"/>
      <c r="N74" s="38"/>
    </row>
    <row r="75" spans="2:19" x14ac:dyDescent="0.25">
      <c r="F75" s="308" t="s">
        <v>250</v>
      </c>
      <c r="G75" s="308"/>
      <c r="H75" s="308"/>
      <c r="I75" s="308"/>
      <c r="J75" s="308"/>
      <c r="K75" s="308"/>
      <c r="L75" s="308"/>
      <c r="M75" s="38"/>
      <c r="N75" s="38"/>
    </row>
    <row r="76" spans="2:19" x14ac:dyDescent="0.25">
      <c r="F76" s="309" t="s">
        <v>251</v>
      </c>
      <c r="G76" s="309"/>
      <c r="H76" s="309"/>
      <c r="I76" s="309"/>
      <c r="J76" s="309"/>
      <c r="K76" s="309"/>
      <c r="L76" s="309"/>
    </row>
  </sheetData>
  <mergeCells count="9">
    <mergeCell ref="F75:L75"/>
    <mergeCell ref="F76:L76"/>
    <mergeCell ref="O4:P4"/>
    <mergeCell ref="R4:S4"/>
    <mergeCell ref="M4:N4"/>
    <mergeCell ref="B42:F42"/>
    <mergeCell ref="K4:L4"/>
    <mergeCell ref="I4:J4"/>
    <mergeCell ref="G4:H4"/>
  </mergeCells>
  <pageMargins left="0.7" right="0.7" top="0.75" bottom="0.75" header="0.3" footer="0.3"/>
  <pageSetup scale="7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M32"/>
  <sheetViews>
    <sheetView topLeftCell="A3" workbookViewId="0">
      <selection activeCell="H20" sqref="H20"/>
    </sheetView>
  </sheetViews>
  <sheetFormatPr defaultColWidth="9.140625" defaultRowHeight="15" x14ac:dyDescent="0.25"/>
  <cols>
    <col min="1" max="1" width="3.85546875" customWidth="1"/>
    <col min="5" max="5" width="12.28515625" bestFit="1" customWidth="1"/>
    <col min="6" max="6" width="12.7109375" customWidth="1"/>
    <col min="7" max="9" width="12.28515625" bestFit="1" customWidth="1"/>
    <col min="10" max="10" width="13.28515625" hidden="1" customWidth="1"/>
    <col min="11" max="11" width="12.28515625" hidden="1" customWidth="1"/>
    <col min="12" max="12" width="3.28515625" customWidth="1"/>
    <col min="13" max="13" width="78.7109375" bestFit="1" customWidth="1"/>
  </cols>
  <sheetData>
    <row r="1" spans="1:13" x14ac:dyDescent="0.25">
      <c r="A1" s="2" t="s">
        <v>363</v>
      </c>
    </row>
    <row r="2" spans="1:13" x14ac:dyDescent="0.25">
      <c r="A2" s="1" t="s">
        <v>362</v>
      </c>
    </row>
    <row r="3" spans="1:13" x14ac:dyDescent="0.25">
      <c r="A3" s="1" t="s">
        <v>364</v>
      </c>
    </row>
    <row r="5" spans="1:13" x14ac:dyDescent="0.25">
      <c r="B5" s="6"/>
      <c r="C5" s="7"/>
      <c r="D5" s="7"/>
      <c r="E5" s="7"/>
      <c r="F5" s="7"/>
      <c r="G5" s="7"/>
      <c r="H5" s="105">
        <v>2019</v>
      </c>
      <c r="I5" s="105">
        <v>2018</v>
      </c>
      <c r="J5" s="105">
        <v>2017</v>
      </c>
      <c r="K5" s="105">
        <v>2016</v>
      </c>
      <c r="M5" s="104" t="s">
        <v>277</v>
      </c>
    </row>
    <row r="6" spans="1:13" x14ac:dyDescent="0.25">
      <c r="B6" s="9" t="s">
        <v>272</v>
      </c>
      <c r="C6" s="10"/>
      <c r="D6" s="10"/>
      <c r="E6" s="10"/>
      <c r="F6" s="10"/>
      <c r="G6" s="10"/>
      <c r="H6" s="15"/>
      <c r="I6" s="15"/>
      <c r="J6" s="15"/>
      <c r="K6" s="15"/>
      <c r="M6" s="14"/>
    </row>
    <row r="7" spans="1:13" x14ac:dyDescent="0.25">
      <c r="B7" s="9" t="s">
        <v>273</v>
      </c>
      <c r="C7" s="10"/>
      <c r="D7" s="10"/>
      <c r="E7" s="10"/>
      <c r="F7" s="10"/>
      <c r="G7" s="10"/>
      <c r="H7" s="19">
        <f>-AD!H23</f>
        <v>-8203260</v>
      </c>
      <c r="I7" s="19">
        <f>-AD!J23</f>
        <v>-5827272</v>
      </c>
      <c r="J7" s="19">
        <f>-AD!L23</f>
        <v>-7144181</v>
      </c>
      <c r="K7" s="19">
        <f>-AD!N23</f>
        <v>-15846166</v>
      </c>
      <c r="M7" s="15" t="s">
        <v>278</v>
      </c>
    </row>
    <row r="8" spans="1:13" x14ac:dyDescent="0.25">
      <c r="B8" s="9" t="s">
        <v>274</v>
      </c>
      <c r="C8" s="10"/>
      <c r="D8" s="10"/>
      <c r="E8" s="10"/>
      <c r="F8" s="10"/>
      <c r="G8" s="10"/>
      <c r="H8" s="19">
        <f>+AD!H41</f>
        <v>9636341</v>
      </c>
      <c r="I8" s="19">
        <f>+AD!J41</f>
        <v>9726442</v>
      </c>
      <c r="J8" s="19">
        <f>+AD!L41</f>
        <v>8402210</v>
      </c>
      <c r="K8" s="19">
        <f>+AD!N41</f>
        <v>3922517.4766000002</v>
      </c>
      <c r="M8" s="15" t="s">
        <v>279</v>
      </c>
    </row>
    <row r="9" spans="1:13" x14ac:dyDescent="0.25">
      <c r="B9" s="9" t="s">
        <v>275</v>
      </c>
      <c r="C9" s="10"/>
      <c r="D9" s="10"/>
      <c r="E9" s="10"/>
      <c r="F9" s="10"/>
      <c r="G9" s="10"/>
      <c r="H9" s="19">
        <f>+AD!H63</f>
        <v>-358270.25</v>
      </c>
      <c r="I9" s="19">
        <f>+ER!M35</f>
        <v>-555396.5</v>
      </c>
      <c r="J9" s="19">
        <f>+AD!L63</f>
        <v>591847.41514800023</v>
      </c>
      <c r="K9" s="19">
        <f>+AD!N63</f>
        <v>3486156.52</v>
      </c>
      <c r="M9" s="15" t="s">
        <v>324</v>
      </c>
    </row>
    <row r="10" spans="1:13" x14ac:dyDescent="0.25">
      <c r="B10" s="9" t="s">
        <v>276</v>
      </c>
      <c r="C10" s="10"/>
      <c r="D10" s="10"/>
      <c r="E10" s="10"/>
      <c r="F10" s="10"/>
      <c r="G10" s="10"/>
      <c r="H10" s="19">
        <f>+ER!G28</f>
        <v>687293</v>
      </c>
      <c r="I10" s="19"/>
      <c r="J10" s="19"/>
      <c r="K10" s="19"/>
      <c r="M10" s="15" t="s">
        <v>325</v>
      </c>
    </row>
    <row r="11" spans="1:13" x14ac:dyDescent="0.25">
      <c r="B11" s="106" t="s">
        <v>149</v>
      </c>
      <c r="C11" s="107"/>
      <c r="D11" s="107"/>
      <c r="E11" s="107"/>
      <c r="F11" s="107"/>
      <c r="G11" s="107"/>
      <c r="H11" s="31">
        <f>SUM(H7:H10)</f>
        <v>1762103.75</v>
      </c>
      <c r="I11" s="31">
        <f>SUM(I7:I10)</f>
        <v>3343773.5</v>
      </c>
      <c r="J11" s="31">
        <f>SUM(J7:J10)</f>
        <v>1849876.4151480002</v>
      </c>
      <c r="K11" s="31">
        <f>SUM(K7:K10)</f>
        <v>-8437492.0033999998</v>
      </c>
      <c r="M11" s="26"/>
    </row>
    <row r="12" spans="1:13" hidden="1" x14ac:dyDescent="0.25">
      <c r="I12" s="4"/>
      <c r="J12" s="4"/>
      <c r="K12" s="4"/>
    </row>
    <row r="13" spans="1:13" hidden="1" x14ac:dyDescent="0.25">
      <c r="B13" s="6" t="s">
        <v>280</v>
      </c>
      <c r="C13" s="7"/>
      <c r="D13" s="7"/>
      <c r="E13" s="7"/>
      <c r="F13" s="7"/>
      <c r="G13" s="7"/>
      <c r="H13" s="7"/>
      <c r="I13" s="22"/>
      <c r="J13" s="22"/>
      <c r="K13" s="22"/>
      <c r="M13" s="108"/>
    </row>
    <row r="14" spans="1:13" hidden="1" x14ac:dyDescent="0.25">
      <c r="B14" s="9" t="s">
        <v>284</v>
      </c>
      <c r="C14" s="10"/>
      <c r="D14" s="10"/>
      <c r="E14" s="10"/>
      <c r="F14" s="10"/>
      <c r="G14" s="10"/>
      <c r="H14" s="10"/>
      <c r="I14" s="19"/>
      <c r="J14" s="19"/>
      <c r="K14" s="19"/>
      <c r="M14" s="108"/>
    </row>
    <row r="15" spans="1:13" s="110" customFormat="1" hidden="1" x14ac:dyDescent="0.25">
      <c r="B15" s="94"/>
      <c r="C15" s="95" t="s">
        <v>281</v>
      </c>
      <c r="D15" s="95"/>
      <c r="E15" s="95"/>
      <c r="F15" s="95"/>
      <c r="G15" s="95"/>
      <c r="H15" s="95"/>
      <c r="I15" s="60"/>
      <c r="J15" s="60">
        <f>+AD!K22</f>
        <v>51723340</v>
      </c>
      <c r="K15" s="60">
        <v>48803746</v>
      </c>
      <c r="M15" s="111" t="s">
        <v>283</v>
      </c>
    </row>
    <row r="16" spans="1:13" hidden="1" x14ac:dyDescent="0.25">
      <c r="B16" s="9" t="s">
        <v>285</v>
      </c>
      <c r="C16" s="10"/>
      <c r="D16" s="10"/>
      <c r="E16" s="10"/>
      <c r="F16" s="10"/>
      <c r="G16" s="10"/>
      <c r="H16" s="10"/>
      <c r="I16" s="19"/>
      <c r="J16" s="19"/>
      <c r="K16" s="19"/>
      <c r="M16" s="108"/>
    </row>
    <row r="17" spans="2:13" hidden="1" x14ac:dyDescent="0.25">
      <c r="B17" s="9"/>
      <c r="C17" s="10" t="s">
        <v>287</v>
      </c>
      <c r="D17" s="10"/>
      <c r="E17" s="10"/>
      <c r="F17" s="10"/>
      <c r="G17" s="10"/>
      <c r="H17" s="10"/>
      <c r="I17" s="19"/>
      <c r="J17" s="19">
        <f>+AD!L23</f>
        <v>7144181</v>
      </c>
      <c r="K17" s="19">
        <f>+AD!N23</f>
        <v>15846166</v>
      </c>
      <c r="M17" s="108" t="s">
        <v>282</v>
      </c>
    </row>
    <row r="18" spans="2:13" hidden="1" x14ac:dyDescent="0.25">
      <c r="B18" s="9"/>
      <c r="C18" s="10" t="s">
        <v>288</v>
      </c>
      <c r="D18" s="10"/>
      <c r="E18" s="10"/>
      <c r="F18" s="10"/>
      <c r="G18" s="10"/>
      <c r="H18" s="10"/>
      <c r="I18" s="19"/>
      <c r="J18" s="19">
        <f>+AD!L24</f>
        <v>44579159</v>
      </c>
      <c r="K18" s="19">
        <f>+AD!N24</f>
        <v>26625458</v>
      </c>
      <c r="M18" s="108"/>
    </row>
    <row r="19" spans="2:13" s="110" customFormat="1" ht="75" hidden="1" x14ac:dyDescent="0.25">
      <c r="B19" s="112"/>
      <c r="C19" s="315" t="s">
        <v>289</v>
      </c>
      <c r="D19" s="315"/>
      <c r="E19" s="315"/>
      <c r="F19" s="315"/>
      <c r="G19" s="315"/>
      <c r="H19" s="316"/>
      <c r="I19" s="113"/>
      <c r="J19" s="113">
        <v>0</v>
      </c>
      <c r="K19" s="113">
        <f>+K15-K17-K18</f>
        <v>6332122</v>
      </c>
      <c r="M19" s="114" t="s">
        <v>286</v>
      </c>
    </row>
    <row r="20" spans="2:13" x14ac:dyDescent="0.25">
      <c r="J20" s="4"/>
      <c r="K20" s="4"/>
    </row>
    <row r="21" spans="2:13" x14ac:dyDescent="0.25">
      <c r="B21" s="1" t="s">
        <v>290</v>
      </c>
      <c r="J21" s="4"/>
      <c r="K21" s="4"/>
    </row>
    <row r="22" spans="2:13" ht="45" x14ac:dyDescent="0.25">
      <c r="B22" s="317" t="s">
        <v>294</v>
      </c>
      <c r="C22" s="318"/>
      <c r="D22" s="319"/>
      <c r="E22" s="115" t="s">
        <v>291</v>
      </c>
      <c r="F22" s="109" t="s">
        <v>292</v>
      </c>
      <c r="G22" s="115" t="s">
        <v>301</v>
      </c>
      <c r="H22" s="115" t="s">
        <v>341</v>
      </c>
      <c r="I22" s="116" t="s">
        <v>340</v>
      </c>
      <c r="K22" s="4"/>
      <c r="M22" s="14"/>
    </row>
    <row r="23" spans="2:13" x14ac:dyDescent="0.25">
      <c r="B23" s="122">
        <v>2015</v>
      </c>
      <c r="C23" s="117"/>
      <c r="D23" s="118"/>
      <c r="E23" s="121">
        <f>-AD!N53</f>
        <v>-7213414</v>
      </c>
      <c r="F23" s="120"/>
      <c r="G23" s="123">
        <f>+E23+F23</f>
        <v>-7213414</v>
      </c>
      <c r="H23" s="119">
        <v>0</v>
      </c>
      <c r="I23" s="121">
        <f>+G23+H23</f>
        <v>-7213414</v>
      </c>
      <c r="K23" s="4"/>
      <c r="M23" s="15"/>
    </row>
    <row r="24" spans="2:13" x14ac:dyDescent="0.25">
      <c r="B24" s="9">
        <v>2016</v>
      </c>
      <c r="C24" s="10"/>
      <c r="D24" s="11"/>
      <c r="E24" s="27">
        <f>+K7</f>
        <v>-15846166</v>
      </c>
      <c r="F24" s="27">
        <f>+K8</f>
        <v>3922517.4766000002</v>
      </c>
      <c r="G24" s="27">
        <f>+E24+F24</f>
        <v>-11923648.523399999</v>
      </c>
      <c r="H24" s="27">
        <f>+K9</f>
        <v>3486156.52</v>
      </c>
      <c r="I24" s="19">
        <f>+G24+H24</f>
        <v>-8437492.0033999998</v>
      </c>
      <c r="J24" s="134"/>
      <c r="K24" s="4"/>
      <c r="M24" s="15" t="s">
        <v>295</v>
      </c>
    </row>
    <row r="25" spans="2:13" x14ac:dyDescent="0.25">
      <c r="B25" s="9">
        <v>2017</v>
      </c>
      <c r="C25" s="10"/>
      <c r="D25" s="11"/>
      <c r="E25" s="27">
        <f>+J7</f>
        <v>-7144181</v>
      </c>
      <c r="F25" s="27">
        <f>+J8</f>
        <v>8402210</v>
      </c>
      <c r="G25" s="27">
        <f t="shared" ref="G25:G27" si="0">+E25+F25</f>
        <v>1258029</v>
      </c>
      <c r="H25" s="27">
        <f>+J9</f>
        <v>591847.41514800023</v>
      </c>
      <c r="I25" s="19">
        <f>+G25+H25</f>
        <v>1849876.4151480002</v>
      </c>
      <c r="J25" s="134"/>
      <c r="K25" s="4"/>
      <c r="M25" s="15" t="s">
        <v>296</v>
      </c>
    </row>
    <row r="26" spans="2:13" x14ac:dyDescent="0.25">
      <c r="B26" s="9">
        <v>2018</v>
      </c>
      <c r="E26" s="27">
        <f>+I7</f>
        <v>-5827272</v>
      </c>
      <c r="F26" s="27">
        <f>+I8</f>
        <v>9726442</v>
      </c>
      <c r="G26" s="27">
        <f t="shared" si="0"/>
        <v>3899170</v>
      </c>
      <c r="H26" s="27">
        <f>+I9</f>
        <v>-555396.5</v>
      </c>
      <c r="I26" s="19">
        <f>+G26+H26</f>
        <v>3343773.5</v>
      </c>
      <c r="J26" s="134"/>
      <c r="K26" s="4"/>
      <c r="M26" s="15" t="s">
        <v>297</v>
      </c>
    </row>
    <row r="27" spans="2:13" x14ac:dyDescent="0.25">
      <c r="B27" s="9">
        <v>2019</v>
      </c>
      <c r="E27" s="133">
        <f>+H7</f>
        <v>-8203260</v>
      </c>
      <c r="F27" s="133">
        <f>+H8</f>
        <v>9636341</v>
      </c>
      <c r="G27" s="27">
        <f t="shared" si="0"/>
        <v>1433081</v>
      </c>
      <c r="H27" s="133">
        <f>+H9</f>
        <v>-358270.25</v>
      </c>
      <c r="I27" s="19">
        <f>+G27+H27</f>
        <v>1074810.75</v>
      </c>
      <c r="J27" s="134"/>
      <c r="K27" s="4"/>
      <c r="M27" s="15" t="s">
        <v>303</v>
      </c>
    </row>
    <row r="28" spans="2:13" x14ac:dyDescent="0.25">
      <c r="B28" s="9" t="s">
        <v>293</v>
      </c>
      <c r="C28" s="10"/>
      <c r="D28" s="11"/>
      <c r="E28" s="29">
        <f>SUM(E23:E27)</f>
        <v>-44234293</v>
      </c>
      <c r="F28" s="29">
        <f t="shared" ref="F28:I28" si="1">SUM(F23:F27)</f>
        <v>31687510.476599999</v>
      </c>
      <c r="G28" s="29">
        <f t="shared" si="1"/>
        <v>-12546782.523400001</v>
      </c>
      <c r="H28" s="29">
        <f t="shared" si="1"/>
        <v>3164337.1851480003</v>
      </c>
      <c r="I28" s="29">
        <f t="shared" si="1"/>
        <v>-9382445.3382520005</v>
      </c>
      <c r="J28" s="135"/>
      <c r="K28" s="4"/>
      <c r="M28" s="15"/>
    </row>
    <row r="29" spans="2:13" x14ac:dyDescent="0.25">
      <c r="B29" s="9">
        <v>2020</v>
      </c>
      <c r="C29" s="10"/>
      <c r="D29" s="11"/>
      <c r="E29" s="15">
        <v>0</v>
      </c>
      <c r="F29" s="19">
        <f>(-E28-F28)/3</f>
        <v>4182260.8411333337</v>
      </c>
      <c r="G29" s="27">
        <f>+E29+F29</f>
        <v>4182260.8411333337</v>
      </c>
      <c r="H29" s="19">
        <f>-G29*0.25</f>
        <v>-1045565.2102833334</v>
      </c>
      <c r="I29" s="19">
        <f>+G29+H29</f>
        <v>3136695.6308500003</v>
      </c>
      <c r="M29" s="15"/>
    </row>
    <row r="30" spans="2:13" x14ac:dyDescent="0.25">
      <c r="B30" s="9">
        <v>2021</v>
      </c>
      <c r="C30" s="10"/>
      <c r="D30" s="11"/>
      <c r="E30" s="15">
        <v>0</v>
      </c>
      <c r="F30" s="27">
        <f>+F29</f>
        <v>4182260.8411333337</v>
      </c>
      <c r="G30" s="27">
        <f>+E30+F30</f>
        <v>4182260.8411333337</v>
      </c>
      <c r="H30" s="19">
        <f>-G30*0.25</f>
        <v>-1045565.2102833334</v>
      </c>
      <c r="I30" s="19">
        <f>+G30+H30</f>
        <v>3136695.6308500003</v>
      </c>
      <c r="M30" s="43" t="s">
        <v>342</v>
      </c>
    </row>
    <row r="31" spans="2:13" x14ac:dyDescent="0.25">
      <c r="B31" s="9">
        <v>2022</v>
      </c>
      <c r="C31" s="10"/>
      <c r="D31" s="11"/>
      <c r="E31" s="15">
        <v>0</v>
      </c>
      <c r="F31" s="27">
        <f>+F30</f>
        <v>4182260.8411333337</v>
      </c>
      <c r="G31" s="27">
        <f>+E31+F31</f>
        <v>4182260.8411333337</v>
      </c>
      <c r="H31" s="19">
        <f>-G31*0.25</f>
        <v>-1045565.2102833334</v>
      </c>
      <c r="I31" s="19">
        <f>+G31+H31</f>
        <v>3136695.6308500003</v>
      </c>
      <c r="K31" s="4"/>
      <c r="M31" s="67" t="s">
        <v>323</v>
      </c>
    </row>
    <row r="32" spans="2:13" x14ac:dyDescent="0.25">
      <c r="B32" s="21" t="s">
        <v>16</v>
      </c>
      <c r="C32" s="12"/>
      <c r="D32" s="13"/>
      <c r="E32" s="29">
        <f>SUM(E28:E31)</f>
        <v>-44234293</v>
      </c>
      <c r="F32" s="29">
        <f>SUM(F29:F31)</f>
        <v>12546782.523400001</v>
      </c>
      <c r="G32" s="29">
        <f t="shared" ref="G32:H32" si="2">SUM(G28:G31)</f>
        <v>0</v>
      </c>
      <c r="H32" s="29">
        <f t="shared" si="2"/>
        <v>27641.554297999945</v>
      </c>
      <c r="I32" s="29">
        <f>SUM(I28:I31)</f>
        <v>27641.55429800041</v>
      </c>
    </row>
  </sheetData>
  <mergeCells count="2">
    <mergeCell ref="C19:H19"/>
    <mergeCell ref="B22:D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9"/>
  <sheetViews>
    <sheetView tabSelected="1" topLeftCell="A20" workbookViewId="0">
      <selection activeCell="A21" sqref="A21"/>
    </sheetView>
  </sheetViews>
  <sheetFormatPr defaultColWidth="11.42578125" defaultRowHeight="15" x14ac:dyDescent="0.25"/>
  <cols>
    <col min="1" max="1" width="2.7109375" customWidth="1"/>
    <col min="6" max="6" width="11.5703125" bestFit="1" customWidth="1"/>
    <col min="7" max="7" width="12.28515625" customWidth="1"/>
    <col min="8" max="8" width="12.28515625" bestFit="1" customWidth="1"/>
    <col min="9" max="9" width="11.28515625" customWidth="1"/>
    <col min="10" max="10" width="12.7109375" bestFit="1" customWidth="1"/>
    <col min="11" max="11" width="13.7109375" customWidth="1"/>
  </cols>
  <sheetData>
    <row r="1" spans="1:11" x14ac:dyDescent="0.25">
      <c r="A1" s="2" t="s">
        <v>363</v>
      </c>
    </row>
    <row r="2" spans="1:11" x14ac:dyDescent="0.25">
      <c r="A2" s="1" t="s">
        <v>365</v>
      </c>
    </row>
    <row r="3" spans="1:11" x14ac:dyDescent="0.25">
      <c r="A3" s="1" t="s">
        <v>339</v>
      </c>
    </row>
    <row r="5" spans="1:11" x14ac:dyDescent="0.25">
      <c r="A5" s="1" t="s">
        <v>154</v>
      </c>
      <c r="F5" s="50">
        <v>2019</v>
      </c>
      <c r="G5" s="50">
        <v>2018</v>
      </c>
      <c r="H5" s="50">
        <v>2017</v>
      </c>
      <c r="I5" s="50">
        <v>2016</v>
      </c>
      <c r="J5" s="50">
        <v>2015</v>
      </c>
      <c r="K5" s="50">
        <v>2014</v>
      </c>
    </row>
    <row r="7" spans="1:11" x14ac:dyDescent="0.25">
      <c r="B7" t="s">
        <v>155</v>
      </c>
    </row>
    <row r="9" spans="1:11" x14ac:dyDescent="0.25">
      <c r="B9" t="s">
        <v>156</v>
      </c>
      <c r="F9" s="4">
        <f>+ER!H32</f>
        <v>39916747</v>
      </c>
      <c r="G9" s="4">
        <f>+ER!N32</f>
        <v>22482878.449999988</v>
      </c>
      <c r="H9" s="4">
        <f>+ER!T32</f>
        <v>13532502</v>
      </c>
      <c r="I9" s="4">
        <v>2715230.4765999913</v>
      </c>
      <c r="J9" s="4">
        <v>9506438</v>
      </c>
      <c r="K9" s="4">
        <v>26251046</v>
      </c>
    </row>
    <row r="10" spans="1:11" x14ac:dyDescent="0.25">
      <c r="B10" s="103" t="s">
        <v>157</v>
      </c>
      <c r="C10" s="37"/>
      <c r="D10" s="37"/>
      <c r="E10" s="37"/>
      <c r="F10" s="39">
        <f>-ER!H31</f>
        <v>2981098</v>
      </c>
      <c r="G10" s="39">
        <v>3489748</v>
      </c>
      <c r="H10" s="4">
        <v>5632050</v>
      </c>
      <c r="I10" s="4">
        <v>5000570</v>
      </c>
      <c r="J10" s="4">
        <v>4403000</v>
      </c>
      <c r="K10" s="4">
        <v>4144396</v>
      </c>
    </row>
    <row r="11" spans="1:11" ht="17.25" x14ac:dyDescent="0.4">
      <c r="B11" s="51" t="s">
        <v>158</v>
      </c>
      <c r="F11" s="168">
        <f>+EFE!I12+EFE!I13+EFE!I14+EFE!I16</f>
        <v>33282575</v>
      </c>
      <c r="G11" s="53">
        <f>19410412+1818050</f>
        <v>21228462</v>
      </c>
      <c r="H11" s="53">
        <f>+EFE!U12+EFE!U16</f>
        <v>19495936</v>
      </c>
      <c r="I11" s="53">
        <v>20363773.523400001</v>
      </c>
      <c r="J11" s="53">
        <v>19601882</v>
      </c>
      <c r="K11" s="53">
        <v>15975450</v>
      </c>
    </row>
    <row r="12" spans="1:11" x14ac:dyDescent="0.25">
      <c r="B12" t="s">
        <v>159</v>
      </c>
      <c r="F12" s="4">
        <f>SUM(F9:F11)</f>
        <v>76180420</v>
      </c>
      <c r="G12" s="4">
        <f>SUM(G9:G11)</f>
        <v>47201088.449999988</v>
      </c>
      <c r="H12" s="4">
        <f>SUM(H9:H11)</f>
        <v>38660488</v>
      </c>
      <c r="I12" s="4">
        <f>SUM(I9:I11)</f>
        <v>28079573.999999993</v>
      </c>
      <c r="J12" s="4">
        <v>33511320</v>
      </c>
      <c r="K12" s="4">
        <f>SUM(K9:K11)</f>
        <v>46370892</v>
      </c>
    </row>
    <row r="13" spans="1:11" x14ac:dyDescent="0.25">
      <c r="H13" s="4"/>
      <c r="I13" s="4"/>
      <c r="J13" s="4"/>
      <c r="K13" s="4"/>
    </row>
    <row r="14" spans="1:11" x14ac:dyDescent="0.25">
      <c r="B14" t="s">
        <v>160</v>
      </c>
      <c r="F14" s="4">
        <f>-ER!H31</f>
        <v>2981098</v>
      </c>
      <c r="G14" s="4">
        <f>-ER!N31</f>
        <v>3806928</v>
      </c>
      <c r="H14" s="4">
        <f>-ER!T31</f>
        <v>5632050</v>
      </c>
      <c r="I14" s="4">
        <v>4974980</v>
      </c>
      <c r="J14" s="4">
        <v>4323391</v>
      </c>
      <c r="K14" s="4">
        <v>4407118</v>
      </c>
    </row>
    <row r="15" spans="1:11" x14ac:dyDescent="0.25">
      <c r="J15" s="4"/>
      <c r="K15" s="4"/>
    </row>
    <row r="16" spans="1:11" x14ac:dyDescent="0.25">
      <c r="B16" t="s">
        <v>154</v>
      </c>
      <c r="F16" s="101">
        <f>+F12/F14</f>
        <v>25.554483616439313</v>
      </c>
      <c r="G16" s="101">
        <f>+G12/G14</f>
        <v>12.39873421561952</v>
      </c>
      <c r="H16" s="52">
        <f>+H12/H14</f>
        <v>6.8643722978311628</v>
      </c>
      <c r="I16" s="52">
        <f>+I12/I14</f>
        <v>5.6441581674700183</v>
      </c>
      <c r="J16" s="52">
        <v>7.7511656937806457</v>
      </c>
      <c r="K16" s="52">
        <f>+K12/K14</f>
        <v>10.521817659522618</v>
      </c>
    </row>
    <row r="17" spans="1:11" x14ac:dyDescent="0.25">
      <c r="J17" s="4"/>
      <c r="K17" s="4"/>
    </row>
    <row r="18" spans="1:11" x14ac:dyDescent="0.25">
      <c r="A18" s="1" t="s">
        <v>161</v>
      </c>
      <c r="J18" s="4"/>
      <c r="K18" s="4"/>
    </row>
    <row r="19" spans="1:11" x14ac:dyDescent="0.25">
      <c r="J19" s="4"/>
      <c r="K19" s="4"/>
    </row>
    <row r="20" spans="1:11" x14ac:dyDescent="0.25">
      <c r="B20" t="s">
        <v>162</v>
      </c>
      <c r="F20" s="4">
        <f>+ER!H29</f>
        <v>42897845</v>
      </c>
      <c r="G20" s="4">
        <f>+ER!N29</f>
        <v>26289806.449999988</v>
      </c>
      <c r="H20" s="4">
        <f>+ER!T29</f>
        <v>19164552</v>
      </c>
      <c r="I20" s="4">
        <v>7690210.4765999913</v>
      </c>
      <c r="J20" s="4">
        <v>13829829</v>
      </c>
      <c r="K20" s="4">
        <f>+ER!T29</f>
        <v>19164552</v>
      </c>
    </row>
    <row r="21" spans="1:11" x14ac:dyDescent="0.25">
      <c r="J21" s="4"/>
      <c r="K21" s="4"/>
    </row>
    <row r="22" spans="1:11" x14ac:dyDescent="0.25">
      <c r="B22" t="s">
        <v>163</v>
      </c>
      <c r="J22" s="4"/>
      <c r="K22" s="4"/>
    </row>
    <row r="23" spans="1:11" x14ac:dyDescent="0.25">
      <c r="B23" t="s">
        <v>165</v>
      </c>
      <c r="F23" s="4">
        <f>+'BG '!I39+'BG '!I40-54803</f>
        <v>7538300</v>
      </c>
      <c r="G23" s="4">
        <f>+'BG '!O39+'BG '!O40</f>
        <v>21663674</v>
      </c>
      <c r="H23" s="4">
        <f>+'BG '!U39</f>
        <v>27144668</v>
      </c>
      <c r="I23" s="4">
        <v>35009000</v>
      </c>
      <c r="J23" s="4">
        <v>27571049</v>
      </c>
      <c r="K23" s="4">
        <v>24027809</v>
      </c>
    </row>
    <row r="24" spans="1:11" ht="17.25" x14ac:dyDescent="0.4">
      <c r="B24" s="37" t="s">
        <v>164</v>
      </c>
      <c r="C24" s="37"/>
      <c r="F24" s="53">
        <v>54803</v>
      </c>
      <c r="G24" s="84">
        <v>241620</v>
      </c>
      <c r="H24" s="84">
        <v>474206</v>
      </c>
      <c r="I24" s="84">
        <v>468655.79086236435</v>
      </c>
      <c r="J24" s="53">
        <v>369086</v>
      </c>
      <c r="K24" s="53">
        <v>259746</v>
      </c>
    </row>
    <row r="25" spans="1:11" x14ac:dyDescent="0.25">
      <c r="B25" t="s">
        <v>166</v>
      </c>
      <c r="F25" s="4">
        <f>+F23+F24</f>
        <v>7593103</v>
      </c>
      <c r="G25" s="4">
        <f>+G23+G24</f>
        <v>21905294</v>
      </c>
      <c r="H25" s="4">
        <f>+H23+H24</f>
        <v>27618874</v>
      </c>
      <c r="I25" s="4">
        <f>+I23+I24</f>
        <v>35477655.790862367</v>
      </c>
      <c r="J25" s="4">
        <v>27940135</v>
      </c>
      <c r="K25" s="4">
        <f>+K23+K24</f>
        <v>24287555</v>
      </c>
    </row>
    <row r="26" spans="1:11" x14ac:dyDescent="0.25">
      <c r="J26" s="4"/>
      <c r="K26" s="4"/>
    </row>
    <row r="27" spans="1:11" x14ac:dyDescent="0.25">
      <c r="B27" t="s">
        <v>167</v>
      </c>
      <c r="F27" s="52">
        <f>+F20/F25</f>
        <v>5.6495802835810336</v>
      </c>
      <c r="G27" s="52">
        <f>+G20/G25</f>
        <v>1.2001576628005992</v>
      </c>
      <c r="H27" s="52">
        <f>+H20/H25</f>
        <v>0.69389331368107188</v>
      </c>
      <c r="I27" s="52">
        <f>+I20/I25</f>
        <v>0.21676208039034767</v>
      </c>
      <c r="J27" s="52">
        <v>0.49498075080882753</v>
      </c>
      <c r="K27" s="52">
        <f>+K20/K25</f>
        <v>0.78906880499086873</v>
      </c>
    </row>
    <row r="28" spans="1:11" x14ac:dyDescent="0.25">
      <c r="J28" s="4"/>
      <c r="K28" s="4"/>
    </row>
    <row r="29" spans="1:11" x14ac:dyDescent="0.25">
      <c r="A29" s="1" t="s">
        <v>168</v>
      </c>
      <c r="J29" s="4"/>
      <c r="K29" s="4"/>
    </row>
    <row r="30" spans="1:11" x14ac:dyDescent="0.25">
      <c r="J30" s="4"/>
      <c r="K30" s="4"/>
    </row>
    <row r="31" spans="1:11" x14ac:dyDescent="0.25">
      <c r="B31" t="s">
        <v>170</v>
      </c>
      <c r="F31" s="35">
        <f>+F23</f>
        <v>7538300</v>
      </c>
      <c r="G31" s="35">
        <f>+G23</f>
        <v>21663674</v>
      </c>
      <c r="H31" s="35">
        <f>+H23</f>
        <v>27144668</v>
      </c>
      <c r="I31" s="35">
        <v>35009000</v>
      </c>
      <c r="J31" s="4">
        <v>27571049</v>
      </c>
      <c r="K31" s="4">
        <v>24027809</v>
      </c>
    </row>
    <row r="32" spans="1:11" x14ac:dyDescent="0.25">
      <c r="B32" t="s">
        <v>159</v>
      </c>
      <c r="F32" s="35">
        <f>+F12</f>
        <v>76180420</v>
      </c>
      <c r="G32" s="35">
        <f>+G12</f>
        <v>47201088.449999988</v>
      </c>
      <c r="H32" s="35">
        <f>+H12</f>
        <v>38660488</v>
      </c>
      <c r="I32" s="35">
        <v>28079573.999999993</v>
      </c>
      <c r="J32" s="54">
        <v>33511320</v>
      </c>
      <c r="K32" s="54">
        <v>46370892</v>
      </c>
    </row>
    <row r="33" spans="2:11" x14ac:dyDescent="0.25">
      <c r="B33" t="s">
        <v>169</v>
      </c>
      <c r="F33" s="52">
        <f>+F31/F32</f>
        <v>9.8953248091832521E-2</v>
      </c>
      <c r="G33" s="52">
        <f>+G31/G32</f>
        <v>0.4589655601469505</v>
      </c>
      <c r="H33" s="52">
        <f>+H31/H32</f>
        <v>0.70212947130931203</v>
      </c>
      <c r="I33" s="52">
        <f>+I31/I32</f>
        <v>1.2467781740563446</v>
      </c>
      <c r="J33" s="52">
        <v>0.82273837616662071</v>
      </c>
      <c r="K33" s="52">
        <f>+K31/K32</f>
        <v>0.51816577088920346</v>
      </c>
    </row>
    <row r="34" spans="2:11" x14ac:dyDescent="0.25">
      <c r="J34" s="4"/>
      <c r="K34" s="4"/>
    </row>
    <row r="35" spans="2:11" x14ac:dyDescent="0.25">
      <c r="J35" s="4"/>
      <c r="K35" s="4"/>
    </row>
    <row r="38" spans="2:11" x14ac:dyDescent="0.25">
      <c r="D38" s="59" t="s">
        <v>250</v>
      </c>
      <c r="E38" s="7"/>
      <c r="F38" s="7"/>
      <c r="G38" s="7"/>
      <c r="H38" s="7"/>
      <c r="I38" s="10"/>
    </row>
    <row r="39" spans="2:11" x14ac:dyDescent="0.25">
      <c r="D39" s="4" t="s">
        <v>251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EFE</vt:lpstr>
      <vt:lpstr>Hoja de trabajo</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CALMEIDA</dc:creator>
  <cp:lastModifiedBy>Carlos Almeida</cp:lastModifiedBy>
  <cp:lastPrinted>2018-05-30T22:27:06Z</cp:lastPrinted>
  <dcterms:created xsi:type="dcterms:W3CDTF">2016-11-10T22:26:48Z</dcterms:created>
  <dcterms:modified xsi:type="dcterms:W3CDTF">2020-06-18T17:35:29Z</dcterms:modified>
</cp:coreProperties>
</file>