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dice" sheetId="1" state="visible" r:id="rId2"/>
    <sheet name="BG " sheetId="2" state="visible" r:id="rId3"/>
    <sheet name="ER" sheetId="3" state="visible" r:id="rId4"/>
    <sheet name="EFE" sheetId="4" state="visible" r:id="rId5"/>
    <sheet name="Hoja de trabajo" sheetId="5" state="visible" r:id="rId6"/>
    <sheet name="PAT" sheetId="6" state="visible" r:id="rId7"/>
    <sheet name="AD" sheetId="7" state="visible" r:id="rId8"/>
    <sheet name="Impuesto diferido" sheetId="8" state="visible" r:id="rId9"/>
    <sheet name="Ratios" sheetId="9" state="visible" r:id="rId10"/>
    <sheet name="PP&amp;E" sheetId="10" state="hidden" r:id="rId11"/>
    <sheet name="Impto diferido" sheetId="11" state="hidden" r:id="rId12"/>
  </sheets>
  <externalReferences>
    <externalReference r:id="rId13"/>
  </externalReferences>
  <definedNames>
    <definedName function="false" hidden="false" localSheetId="6" name="_xlnm.Print_Area" vbProcedure="false">AD!$A$1:$U$67</definedName>
    <definedName function="false" hidden="false" localSheetId="1" name="_xlnm.Print_Area" vbProcedure="false">'BG '!$A$6:$U$74</definedName>
    <definedName function="false" hidden="false" localSheetId="3" name="_xlnm.Print_Area" vbProcedure="false">EFE!$B$1:$V$74</definedName>
    <definedName function="false" hidden="false" localSheetId="2" name="_xlnm.Print_Area" vbProcedure="false">ER!$A$1:$Y$40</definedName>
    <definedName function="false" hidden="false" localSheetId="5" name="_xlnm.Print_Area" vbProcedure="false">PAT!$A$1:$J$171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<sst xmlns="http://schemas.openxmlformats.org/spreadsheetml/2006/main" count="740" uniqueCount="446">
  <si>
    <t xml:space="preserve">1.</t>
  </si>
  <si>
    <t xml:space="preserve">ESTADOS DE SITUACION FINANCIERA COMBINADOS</t>
  </si>
  <si>
    <t xml:space="preserve">2.</t>
  </si>
  <si>
    <t xml:space="preserve">ESTADOS DE RESULTADOS COMBINADOS</t>
  </si>
  <si>
    <t xml:space="preserve">3.</t>
  </si>
  <si>
    <t xml:space="preserve">FLUJOS DE EFECTIVO COMBINADOS</t>
  </si>
  <si>
    <t xml:space="preserve">4.</t>
  </si>
  <si>
    <t xml:space="preserve">MOVIMIENTO DEL PATRIMONIO DE ACCIONISTAS COMIBINADOS</t>
  </si>
  <si>
    <t xml:space="preserve">5.</t>
  </si>
  <si>
    <t xml:space="preserve">ASIENTOS CONTABLES DE COMBINACION</t>
  </si>
  <si>
    <t xml:space="preserve">6.</t>
  </si>
  <si>
    <t xml:space="preserve">RATIOS FINANCIEROS</t>
  </si>
  <si>
    <t xml:space="preserve">TELCONET Y COMPAÑÍA RELACIONADA</t>
  </si>
  <si>
    <t xml:space="preserve">Al 31 de diciembre del 2019 y 2018</t>
  </si>
  <si>
    <t xml:space="preserve">(Expresado en dolares estadounidenses)</t>
  </si>
  <si>
    <t xml:space="preserve">Ajustes de</t>
  </si>
  <si>
    <t xml:space="preserve">Telconet</t>
  </si>
  <si>
    <t xml:space="preserve">Megadatos</t>
  </si>
  <si>
    <t xml:space="preserve">Suman</t>
  </si>
  <si>
    <t xml:space="preserve">Combinacion</t>
  </si>
  <si>
    <t xml:space="preserve">Combinado</t>
  </si>
  <si>
    <t xml:space="preserve">ACTIVOS</t>
  </si>
  <si>
    <t xml:space="preserve">Activos Corrientes:</t>
  </si>
  <si>
    <t xml:space="preserve">Efectivo y equivalentes de efectivo</t>
  </si>
  <si>
    <t xml:space="preserve">Activos financieros a valor razonable</t>
  </si>
  <si>
    <t xml:space="preserve">Inversiones mantenidas hasta el vencimiento</t>
  </si>
  <si>
    <t xml:space="preserve">Cuentas por cobrar:</t>
  </si>
  <si>
    <t xml:space="preserve">…Comerciales</t>
  </si>
  <si>
    <t xml:space="preserve">…Compañias relacionadas</t>
  </si>
  <si>
    <t xml:space="preserve">…Otras cuentas por cobrar</t>
  </si>
  <si>
    <t xml:space="preserve">Impuestos por recuperar</t>
  </si>
  <si>
    <t xml:space="preserve">Anticipos a proveedores</t>
  </si>
  <si>
    <t xml:space="preserve">Inventarios</t>
  </si>
  <si>
    <t xml:space="preserve">Total Activos Corrientes</t>
  </si>
  <si>
    <t xml:space="preserve">Activos de grupo enajenable clasificados como mantenidos para la venta</t>
  </si>
  <si>
    <t xml:space="preserve">Activos no Corrientes:</t>
  </si>
  <si>
    <t xml:space="preserve">Cuentas por cobrar a compañías relacionadas</t>
  </si>
  <si>
    <t xml:space="preserve">Otras cuentas por cobrar</t>
  </si>
  <si>
    <t xml:space="preserve">Propiedades y equipos</t>
  </si>
  <si>
    <t xml:space="preserve">Propiedades de inversion</t>
  </si>
  <si>
    <t xml:space="preserve">Activos intangibles</t>
  </si>
  <si>
    <t xml:space="preserve">Activos por derechos de uso</t>
  </si>
  <si>
    <t xml:space="preserve">Inversiones en derechos fiduciarios</t>
  </si>
  <si>
    <t xml:space="preserve">Inversiones en subsidiarias y asociadas</t>
  </si>
  <si>
    <t xml:space="preserve">Activo por impuesto diferido</t>
  </si>
  <si>
    <t xml:space="preserve">Otros activos</t>
  </si>
  <si>
    <t xml:space="preserve">Total Activos no Corrientes</t>
  </si>
  <si>
    <t xml:space="preserve">TOTAL ACTIVOS  </t>
  </si>
  <si>
    <t xml:space="preserve">PASIVOS Y PATRIMONIO</t>
  </si>
  <si>
    <t xml:space="preserve">Pasivos Corrientes:</t>
  </si>
  <si>
    <t xml:space="preserve">Sobregiros bancarios</t>
  </si>
  <si>
    <t xml:space="preserve">Porción corriente de obligaciones financieras</t>
  </si>
  <si>
    <t xml:space="preserve">Porcion corriente de valores emitidos</t>
  </si>
  <si>
    <t xml:space="preserve">Cuentas por pagar:</t>
  </si>
  <si>
    <t xml:space="preserve">…Proveedores</t>
  </si>
  <si>
    <t xml:space="preserve">…Impuesto a la renta por pagar</t>
  </si>
  <si>
    <t xml:space="preserve">…Impuestos por pagar</t>
  </si>
  <si>
    <t xml:space="preserve">…Otras cuentas por pagar</t>
  </si>
  <si>
    <t xml:space="preserve">Pasivos del contrato</t>
  </si>
  <si>
    <t xml:space="preserve">Beneficios sociales</t>
  </si>
  <si>
    <t xml:space="preserve">Pasivos por arrendamiento</t>
  </si>
  <si>
    <t xml:space="preserve">Pasivo contingente</t>
  </si>
  <si>
    <t xml:space="preserve">Total Pasivos Corrientes</t>
  </si>
  <si>
    <t xml:space="preserve">Pasivos no Corrientes:</t>
  </si>
  <si>
    <t xml:space="preserve">Prestamos y obligaciones financieras</t>
  </si>
  <si>
    <t xml:space="preserve">Valores emitidos </t>
  </si>
  <si>
    <t xml:space="preserve">…Relacionadas</t>
  </si>
  <si>
    <t xml:space="preserve">Jubilacion patronal y desahucio</t>
  </si>
  <si>
    <t xml:space="preserve">Total Pasivos no Corrientes</t>
  </si>
  <si>
    <t xml:space="preserve">TOTAL PASIVOS  </t>
  </si>
  <si>
    <t xml:space="preserve">Patrimonio:</t>
  </si>
  <si>
    <t xml:space="preserve">Capital</t>
  </si>
  <si>
    <t xml:space="preserve">Aportes para futuras capitalizaciones</t>
  </si>
  <si>
    <t xml:space="preserve">Reservas</t>
  </si>
  <si>
    <t xml:space="preserve">Resultados acumulados</t>
  </si>
  <si>
    <t xml:space="preserve">Total Patrimonio</t>
  </si>
  <si>
    <t xml:space="preserve">TOTAL PASIVOS Y PATRIMONIO</t>
  </si>
  <si>
    <t xml:space="preserve">ING. MARIO ALMEIDA REDROVAN</t>
  </si>
  <si>
    <t xml:space="preserve">                  AUDITOR INTERNO</t>
  </si>
  <si>
    <t xml:space="preserve">ESTADOS DE RESULTADOS INTEGRALES COMBINADOS</t>
  </si>
  <si>
    <t xml:space="preserve">combinacion</t>
  </si>
  <si>
    <t xml:space="preserve">Ingresos por ventas</t>
  </si>
  <si>
    <t xml:space="preserve">Costo de ventas</t>
  </si>
  <si>
    <t xml:space="preserve">Utilidad bruta</t>
  </si>
  <si>
    <t xml:space="preserve">Gastos de administracion y ventas</t>
  </si>
  <si>
    <t xml:space="preserve">…Remuneraciones  y beneficios a empleados</t>
  </si>
  <si>
    <t xml:space="preserve">…Mantenimientos y reparaciones</t>
  </si>
  <si>
    <t xml:space="preserve">…15% participacion a trabajadores</t>
  </si>
  <si>
    <t xml:space="preserve">…Depreciaciones y amortizaciones</t>
  </si>
  <si>
    <t xml:space="preserve">…Servicio Cash Management</t>
  </si>
  <si>
    <t xml:space="preserve">…Honorarios profesionales</t>
  </si>
  <si>
    <t xml:space="preserve">…Otros impuestos y contribuciones</t>
  </si>
  <si>
    <t xml:space="preserve">…Gastos de viaje y gestion</t>
  </si>
  <si>
    <t xml:space="preserve">…Servicios de publicidad</t>
  </si>
  <si>
    <t xml:space="preserve">…Servicios basicos</t>
  </si>
  <si>
    <t xml:space="preserve">…Suministros de oficina</t>
  </si>
  <si>
    <t xml:space="preserve">…Seguros</t>
  </si>
  <si>
    <t xml:space="preserve">…Otros gastos de administracion y ventas</t>
  </si>
  <si>
    <t xml:space="preserve">Total gastos de administracion y ventas</t>
  </si>
  <si>
    <t xml:space="preserve">Otros ingresos operacionales</t>
  </si>
  <si>
    <t xml:space="preserve">Otros ingresos (gastos), neto</t>
  </si>
  <si>
    <t xml:space="preserve">Utilidad operacional</t>
  </si>
  <si>
    <t xml:space="preserve">Gastos financieros, neto</t>
  </si>
  <si>
    <t xml:space="preserve">Utilidad antes de impuesto a la renta</t>
  </si>
  <si>
    <t xml:space="preserve">Participación a trabajadores</t>
  </si>
  <si>
    <t xml:space="preserve">Impuesto a la renta </t>
  </si>
  <si>
    <t xml:space="preserve">Utilidad neta y resultado integral del año</t>
  </si>
  <si>
    <t xml:space="preserve">Otros resultados integrales:</t>
  </si>
  <si>
    <t xml:space="preserve">Nuevas mediciones de los planes de beneficio definido - Ganancias (perdidas) actuariales</t>
  </si>
  <si>
    <t xml:space="preserve">ESTADOS DE FLUJOS DE EFECTIVO COMBINADOS</t>
  </si>
  <si>
    <t xml:space="preserve">Flujo de efectivo de las actividades de operación:</t>
  </si>
  <si>
    <t xml:space="preserve">Utilidad antes de Impuesto a la Renta</t>
  </si>
  <si>
    <t xml:space="preserve">Más cargos (menos créditos) a resultados que no representan movimiento de efectivo:</t>
  </si>
  <si>
    <t xml:space="preserve">Provisión por deterioro de cuentas por cobrar</t>
  </si>
  <si>
    <t xml:space="preserve">Provisión por deterioro de otras cuentas por cobrar</t>
  </si>
  <si>
    <t xml:space="preserve">Depreciación de propiedades y equipos</t>
  </si>
  <si>
    <t xml:space="preserve">Depreciación de propiedades de inversión</t>
  </si>
  <si>
    <t xml:space="preserve">Depreciación de activos por derechos de uso</t>
  </si>
  <si>
    <t xml:space="preserve">Bajas de activos fijos</t>
  </si>
  <si>
    <t xml:space="preserve">Amortización de activos intangibles</t>
  </si>
  <si>
    <t xml:space="preserve">Provisión por deterioro de inversión en subsidiarias y asociados</t>
  </si>
  <si>
    <t xml:space="preserve">Participación de los trabajadores en las utilidades</t>
  </si>
  <si>
    <t xml:space="preserve">Provisión para jubilación patronal y desahucio</t>
  </si>
  <si>
    <t xml:space="preserve">Variación de impuestos diferidos</t>
  </si>
  <si>
    <t xml:space="preserve">Otros movimientos menores en el patrimonio</t>
  </si>
  <si>
    <t xml:space="preserve">Impuesto diferido</t>
  </si>
  <si>
    <t xml:space="preserve">Cambios en activos y pasivos:</t>
  </si>
  <si>
    <t xml:space="preserve">Cuentas por cobrar comerciales</t>
  </si>
  <si>
    <t xml:space="preserve">Cuentas por pagar a proveedores</t>
  </si>
  <si>
    <t xml:space="preserve">Cuentas por pagar a compañías relacionadas</t>
  </si>
  <si>
    <t xml:space="preserve">Impuestos por pagar</t>
  </si>
  <si>
    <t xml:space="preserve">Otras cuentas por pagar</t>
  </si>
  <si>
    <t xml:space="preserve">Anticipos de clientes</t>
  </si>
  <si>
    <t xml:space="preserve">Beneficios sociales de largo plazo</t>
  </si>
  <si>
    <t xml:space="preserve">Ingresos diferidos</t>
  </si>
  <si>
    <t xml:space="preserve">Provisiones</t>
  </si>
  <si>
    <t xml:space="preserve">Efectivo generado por las actividades de operación</t>
  </si>
  <si>
    <t xml:space="preserve">Impuesto a la renta pagado</t>
  </si>
  <si>
    <t xml:space="preserve">Pago de participación de trabajadores en las utilidades</t>
  </si>
  <si>
    <t xml:space="preserve">Pagos de jubilación patronal y desahucio</t>
  </si>
  <si>
    <t xml:space="preserve">Efectivo neto (utilizado en) provisto por las actividades de operación</t>
  </si>
  <si>
    <t xml:space="preserve">Flujo de efectivo de las actividades de inversión:</t>
  </si>
  <si>
    <t xml:space="preserve">Disminución (aumento) de inversiones mantenidas hasta el vencimiento</t>
  </si>
  <si>
    <t xml:space="preserve">Disminución (aumento) de activos financieros a valor razonable</t>
  </si>
  <si>
    <t xml:space="preserve">Aumento de inversiones en derechos fiduciarios</t>
  </si>
  <si>
    <t xml:space="preserve">Activos por derechos de uso (pagos)</t>
  </si>
  <si>
    <t xml:space="preserve">Aumento de inversiones en subsidiarias y asociadas</t>
  </si>
  <si>
    <t xml:space="preserve">Adiciones de propiedades y equipos</t>
  </si>
  <si>
    <t xml:space="preserve">Ventas de propiedades de inversión</t>
  </si>
  <si>
    <t xml:space="preserve">Ventas de activos de grupo enajenable clasificados como mantenidos para la venta</t>
  </si>
  <si>
    <t xml:space="preserve">Adiciones de activos intangibles</t>
  </si>
  <si>
    <t xml:space="preserve">Efectivo neto provisto por (utilizado en) las actividades de inversión</t>
  </si>
  <si>
    <t xml:space="preserve">Flujo de efectivo de las actividades de financiamiento:</t>
  </si>
  <si>
    <t xml:space="preserve">Devoluciones de aportes de accionistas</t>
  </si>
  <si>
    <t xml:space="preserve">Préstamos con entidades financieras</t>
  </si>
  <si>
    <t xml:space="preserve">Obligaciones financieras, neto</t>
  </si>
  <si>
    <t xml:space="preserve">Pago capital de pasivo por arrendamiento</t>
  </si>
  <si>
    <t xml:space="preserve">Pago de dividendos</t>
  </si>
  <si>
    <t xml:space="preserve">Emisión de obligaciones, neto</t>
  </si>
  <si>
    <t xml:space="preserve">Pagos de emisión de obligaciones</t>
  </si>
  <si>
    <t xml:space="preserve">Efectivo neto (utilizado en) provisto por las actividades de financiamiento</t>
  </si>
  <si>
    <t xml:space="preserve">FlUJOS DE EFECTIVO NETOS</t>
  </si>
  <si>
    <t xml:space="preserve">(Disminución) incremento neto de efectivo</t>
  </si>
  <si>
    <t xml:space="preserve">Efectivo y equivalentes de efectivo al inicio del año</t>
  </si>
  <si>
    <t xml:space="preserve">Efectivo y equivalentes de efectivo al final del año</t>
  </si>
  <si>
    <r>
      <rPr>
        <sz val="9"/>
        <rFont val="Arial"/>
        <family val="2"/>
        <charset val="1"/>
      </rPr>
      <t xml:space="preserve">        </t>
    </r>
    <r>
      <rPr>
        <u val="single"/>
        <sz val="9"/>
        <rFont val="Arial"/>
        <family val="2"/>
        <charset val="1"/>
      </rPr>
      <t xml:space="preserve">Activo</t>
    </r>
  </si>
  <si>
    <r>
      <rPr>
        <sz val="9"/>
        <rFont val="Arial"/>
        <family val="2"/>
        <charset val="1"/>
      </rPr>
      <t xml:space="preserve">        </t>
    </r>
    <r>
      <rPr>
        <u val="single"/>
        <sz val="9"/>
        <rFont val="Arial"/>
        <family val="2"/>
        <charset val="1"/>
      </rPr>
      <t xml:space="preserve">Pasivo y patrimonio</t>
    </r>
  </si>
  <si>
    <t xml:space="preserve">ACTIVO CORRIENTE</t>
  </si>
  <si>
    <t xml:space="preserve">PASIVO CORRIENTE</t>
  </si>
  <si>
    <t xml:space="preserve">Efectivo y Equivalentes de efectivo</t>
  </si>
  <si>
    <t xml:space="preserve">Sobregiros Bancarios</t>
  </si>
  <si>
    <t xml:space="preserve">Activos Financieros a valor razonable</t>
  </si>
  <si>
    <t xml:space="preserve">Porción corriente de las obligaciones financieras</t>
  </si>
  <si>
    <t xml:space="preserve">Porción corriente de valores emitidos</t>
  </si>
  <si>
    <t xml:space="preserve">Clientes</t>
  </si>
  <si>
    <t xml:space="preserve">Proveedores</t>
  </si>
  <si>
    <t xml:space="preserve">Compañías relacionadas</t>
  </si>
  <si>
    <t xml:space="preserve">Compañias relacionadas</t>
  </si>
  <si>
    <t xml:space="preserve">Otros impuestos por pagar</t>
  </si>
  <si>
    <t xml:space="preserve">   Pasivos por arrendamientos</t>
  </si>
  <si>
    <t xml:space="preserve">Beneficios Sociales</t>
  </si>
  <si>
    <t xml:space="preserve">Total del activo corriente</t>
  </si>
  <si>
    <t xml:space="preserve">Total pasivos corrientes</t>
  </si>
  <si>
    <t xml:space="preserve">ACTIVO NO CORRIENTE</t>
  </si>
  <si>
    <t xml:space="preserve">PASIVO NO CORRIENTE</t>
  </si>
  <si>
    <t xml:space="preserve">Obligaciones Financieras</t>
  </si>
  <si>
    <t xml:space="preserve">Valores emitidos</t>
  </si>
  <si>
    <t xml:space="preserve">Propiedad y equipos, neto</t>
  </si>
  <si>
    <t xml:space="preserve">Propiedades de Inversión</t>
  </si>
  <si>
    <t xml:space="preserve">Activos Intangibles</t>
  </si>
  <si>
    <t xml:space="preserve">Jubilación Patronal y Bonifcación por desahucio</t>
  </si>
  <si>
    <t xml:space="preserve">Inversiones en asociadas</t>
  </si>
  <si>
    <t xml:space="preserve">Pasivos por arrendamientos L/P</t>
  </si>
  <si>
    <t xml:space="preserve">Total pasivos no corrientes</t>
  </si>
  <si>
    <t xml:space="preserve">Total del activo no corriente</t>
  </si>
  <si>
    <t xml:space="preserve">Total pasivos</t>
  </si>
  <si>
    <t xml:space="preserve">PATRIMONIO (según estado adjunto)</t>
  </si>
  <si>
    <t xml:space="preserve">      Total del activo</t>
  </si>
  <si>
    <t xml:space="preserve">    Total del pasivo y patrimonio</t>
  </si>
  <si>
    <t xml:space="preserve">INVERSIONES EN ASOCIADAS</t>
  </si>
  <si>
    <t xml:space="preserve">VARIACION DE PATRIMONIO</t>
  </si>
  <si>
    <t xml:space="preserve">VPP</t>
  </si>
  <si>
    <t xml:space="preserve">Utilidad neta</t>
  </si>
  <si>
    <t xml:space="preserve">Adiciones netas</t>
  </si>
  <si>
    <t xml:space="preserve">Variación</t>
  </si>
  <si>
    <t xml:space="preserve">Efecto de implementacion NIIF 9</t>
  </si>
  <si>
    <t xml:space="preserve">Otras variaciones netas</t>
  </si>
  <si>
    <t xml:space="preserve">ACTIVOS FIJOS</t>
  </si>
  <si>
    <t xml:space="preserve">Gasto de depreciación</t>
  </si>
  <si>
    <t xml:space="preserve">Más Provision de impuesto a la renta</t>
  </si>
  <si>
    <t xml:space="preserve">Utilidad antes de IR</t>
  </si>
  <si>
    <t xml:space="preserve">ACTIVOS POR DERECHOS DE USO</t>
  </si>
  <si>
    <t xml:space="preserve">Registro contra pasivos por arrendamiento</t>
  </si>
  <si>
    <t xml:space="preserve">Pagos netos</t>
  </si>
  <si>
    <t xml:space="preserve">JUBILACION Y DESAHUCIO</t>
  </si>
  <si>
    <t xml:space="preserve">Provision del periodo</t>
  </si>
  <si>
    <t xml:space="preserve">Pagos, neto</t>
  </si>
  <si>
    <t xml:space="preserve">ACTIVOS INTANGIBLES</t>
  </si>
  <si>
    <t xml:space="preserve">Amortizacion del periodo</t>
  </si>
  <si>
    <t xml:space="preserve">PROPIEDADES DE INVERSION</t>
  </si>
  <si>
    <t xml:space="preserve">Amortizacion</t>
  </si>
  <si>
    <t xml:space="preserve">Variacion</t>
  </si>
  <si>
    <t xml:space="preserve">IMPUESTOS POR PAGAR </t>
  </si>
  <si>
    <t xml:space="preserve">Provision de impuesto a la renta</t>
  </si>
  <si>
    <t xml:space="preserve">Pago de impuesto a la renta</t>
  </si>
  <si>
    <t xml:space="preserve">Otros movimientos netos</t>
  </si>
  <si>
    <t xml:space="preserve">BENEFICIOS SOCIALES POR PAGAR</t>
  </si>
  <si>
    <t xml:space="preserve">Provision 15% PT</t>
  </si>
  <si>
    <t xml:space="preserve">Pago de 15% PT</t>
  </si>
  <si>
    <t xml:space="preserve">CUENTAS POR COBRAR COMERCIALES</t>
  </si>
  <si>
    <t xml:space="preserve">Provision para incobrables</t>
  </si>
  <si>
    <t xml:space="preserve">Variacion en cuentas por cobrar comerciales</t>
  </si>
  <si>
    <t xml:space="preserve">IMPUESTO DIFERIDO</t>
  </si>
  <si>
    <t xml:space="preserve">Cargo (abono) a resultados</t>
  </si>
  <si>
    <t xml:space="preserve">PASIVOS POR ARRENDAMIENTO</t>
  </si>
  <si>
    <t xml:space="preserve">Efecto aplicacion NIIF 9</t>
  </si>
  <si>
    <t xml:space="preserve">Registro contra derechos de uso</t>
  </si>
  <si>
    <t xml:space="preserve">ESTADO DE CAMBIOS EN EL PATRIMONIO DE ACCIONISTAS COMBINADO</t>
  </si>
  <si>
    <t xml:space="preserve">POR LOS AÑOS TERMINADOS EL 31 DE DICIEMBRE DEL 2019 Y 2018</t>
  </si>
  <si>
    <t xml:space="preserve">CAPITAL SOCIAL</t>
  </si>
  <si>
    <t xml:space="preserve">Saldos previamente reportados al 1o. de enero 2015</t>
  </si>
  <si>
    <t xml:space="preserve">Saldos reestructurados al 1o. de enero 2015</t>
  </si>
  <si>
    <t xml:space="preserve">Aumento de capital 30/03/2015</t>
  </si>
  <si>
    <t xml:space="preserve">Aumento de capital 10/07/2015</t>
  </si>
  <si>
    <t xml:space="preserve">Aumento de capital 23/09/2015</t>
  </si>
  <si>
    <t xml:space="preserve">Aumento de capital 17/12/2015 </t>
  </si>
  <si>
    <t xml:space="preserve">Saldo al 1o. de enero del 2016</t>
  </si>
  <si>
    <t xml:space="preserve">Capitalización de utilidades</t>
  </si>
  <si>
    <t xml:space="preserve">Saldo al 1o. de enero del 2017 (reexpresado)</t>
  </si>
  <si>
    <t xml:space="preserve">Aumento de capital 14/07/2017</t>
  </si>
  <si>
    <t xml:space="preserve">Saldo al 31 de diciembre del 2017</t>
  </si>
  <si>
    <t xml:space="preserve">Saldo al 31 de diciembre del 2018</t>
  </si>
  <si>
    <t xml:space="preserve">Aumento de capital según Acta de Accionistas</t>
  </si>
  <si>
    <t xml:space="preserve">Baja de Capital</t>
  </si>
  <si>
    <t xml:space="preserve">Saldo al 31 de diciembre del 2019</t>
  </si>
  <si>
    <t xml:space="preserve">Apropiación reserva legal</t>
  </si>
  <si>
    <t xml:space="preserve">Saldo al 31 de diciembre del 2020</t>
  </si>
  <si>
    <t xml:space="preserve">APORTES PARA FUTURAS CAPITALIZACIONES</t>
  </si>
  <si>
    <t xml:space="preserve">Saldos previamente reportados al 1o. de enero 2014</t>
  </si>
  <si>
    <t xml:space="preserve">Aporte para futuras capitalizaciones</t>
  </si>
  <si>
    <t xml:space="preserve">Devolución de aporte de accionistas 13 enero 2015</t>
  </si>
  <si>
    <t xml:space="preserve">Aplicación de aporte de accionistas a cuentas por cobrar según Acta de Junta de Accionistas del 29 de diciembre de 2017</t>
  </si>
  <si>
    <t xml:space="preserve">Baja de capital</t>
  </si>
  <si>
    <t xml:space="preserve">Aporte a Capital</t>
  </si>
  <si>
    <t xml:space="preserve">RESERVA LEGAL</t>
  </si>
  <si>
    <t xml:space="preserve">Transf a . Reserva Legal</t>
  </si>
  <si>
    <t xml:space="preserve">Apropiacion de reserva legal</t>
  </si>
  <si>
    <t xml:space="preserve">Saldo al 1o. de enero del 2016 (reexpresado)</t>
  </si>
  <si>
    <t xml:space="preserve">Incremento a la Reserva Legal Ajuste en 2018</t>
  </si>
  <si>
    <t xml:space="preserve">Saldos al 31 de diciembre del 2016</t>
  </si>
  <si>
    <t xml:space="preserve">Saldos al 31 de diciembre del 2017</t>
  </si>
  <si>
    <t xml:space="preserve">Incremento de la Reserva legal</t>
  </si>
  <si>
    <t xml:space="preserve">RESERVA FACULTATIVA</t>
  </si>
  <si>
    <t xml:space="preserve">Saldos al 1o. de enero del 2016</t>
  </si>
  <si>
    <t xml:space="preserve">Saldos al 1o. de enero del 2016 (reexpresado)</t>
  </si>
  <si>
    <t xml:space="preserve">Reservas totales</t>
  </si>
  <si>
    <t xml:space="preserve">RESULTADOS ACUMULADOS - RESERVA DE CAPITAL</t>
  </si>
  <si>
    <t xml:space="preserve">Saldos al 31 de diciembre del 2018</t>
  </si>
  <si>
    <t xml:space="preserve">Saldos al 31 de diciembre del 2019</t>
  </si>
  <si>
    <t xml:space="preserve">RESULTADOS ACUMULADOS - POR APLICACIÓN NIIF </t>
  </si>
  <si>
    <t xml:space="preserve">Saldos reestructurados al 31 de diciembre del 2015</t>
  </si>
  <si>
    <t xml:space="preserve">OTROS RESULTADOS INTEGRALES</t>
  </si>
  <si>
    <t xml:space="preserve">Adopción cambios NIC 19</t>
  </si>
  <si>
    <t xml:space="preserve">Saldos reestructurados al 1o. Enero 2015</t>
  </si>
  <si>
    <t xml:space="preserve">Utilidad neta y resultado integral del año </t>
  </si>
  <si>
    <t xml:space="preserve">RESULTADOS ACUMULADOS</t>
  </si>
  <si>
    <t xml:space="preserve">Corrección de errores</t>
  </si>
  <si>
    <t xml:space="preserve">Saldos reestructurados al 1 de enero del 2015</t>
  </si>
  <si>
    <t xml:space="preserve">Transferencia a Reserva Legal</t>
  </si>
  <si>
    <t xml:space="preserve">Adopcion NIC 19</t>
  </si>
  <si>
    <t xml:space="preserve">Reestructuración de saldos iniciales</t>
  </si>
  <si>
    <t xml:space="preserve">Saldos reestructurados al 1o. de enero del 2015</t>
  </si>
  <si>
    <t xml:space="preserve">Incremento de capital</t>
  </si>
  <si>
    <t xml:space="preserve">Utilidad neta reestructurada y resultado integral del año</t>
  </si>
  <si>
    <t xml:space="preserve">Correccion de pasivos con Accionistas</t>
  </si>
  <si>
    <t xml:space="preserve">Saldo al 1o. de enero del 2016, reexpresado</t>
  </si>
  <si>
    <t xml:space="preserve">Capitalizacion de utilidades</t>
  </si>
  <si>
    <t xml:space="preserve">Aumento de capital según Acta de Junta de Accionistas del 14 de julio de 2017</t>
  </si>
  <si>
    <t xml:space="preserve">Otros ajustes menores</t>
  </si>
  <si>
    <t xml:space="preserve">Eefecto de implantación de la NIIF 9</t>
  </si>
  <si>
    <t xml:space="preserve">Pago de dividendos </t>
  </si>
  <si>
    <t xml:space="preserve">Resultado del ejercicio </t>
  </si>
  <si>
    <t xml:space="preserve">Efecto de implantacion de la NIIF 16</t>
  </si>
  <si>
    <t xml:space="preserve">Aumento de capital</t>
  </si>
  <si>
    <t xml:space="preserve">Resultados acumulados totales</t>
  </si>
  <si>
    <t xml:space="preserve">TOTAL DEL PATRIMONIO</t>
  </si>
  <si>
    <t xml:space="preserve">Otros resultados integrales reestructurados</t>
  </si>
  <si>
    <t xml:space="preserve">Saldos al 31 de diciembre del 2015</t>
  </si>
  <si>
    <t xml:space="preserve">Otros resultados integrales </t>
  </si>
  <si>
    <t xml:space="preserve">Resultado del ejercicio y otros resultados integrales</t>
  </si>
  <si>
    <t xml:space="preserve">Saldos al 31 de diciembre del 2020</t>
  </si>
  <si>
    <t xml:space="preserve">ASIENTOS DE COMBINACION</t>
  </si>
  <si>
    <t xml:space="preserve">DEBITO</t>
  </si>
  <si>
    <t xml:space="preserve">CREDITO</t>
  </si>
  <si>
    <t xml:space="preserve">-1-</t>
  </si>
  <si>
    <r>
      <rPr>
        <u val="single"/>
        <sz val="11"/>
        <color rgb="FF000000"/>
        <rFont val="Calibri"/>
        <family val="2"/>
        <charset val="1"/>
      </rPr>
      <t xml:space="preserve">Ingresos Megadatos</t>
    </r>
    <r>
      <rPr>
        <sz val="11"/>
        <color rgb="FF000000"/>
        <rFont val="Calibri"/>
        <family val="2"/>
        <charset val="1"/>
      </rPr>
      <t xml:space="preserve">.-</t>
    </r>
  </si>
  <si>
    <t xml:space="preserve">Utilidades Retenidas del Ejercicio.-</t>
  </si>
  <si>
    <r>
      <rPr>
        <u val="single"/>
        <sz val="11"/>
        <color rgb="FF000000"/>
        <rFont val="Calibri"/>
        <family val="2"/>
        <charset val="1"/>
      </rPr>
      <t xml:space="preserve">à Costo de Ventas Telconet</t>
    </r>
    <r>
      <rPr>
        <sz val="11"/>
        <color rgb="FF000000"/>
        <rFont val="Calibri"/>
        <family val="2"/>
        <charset val="1"/>
      </rPr>
      <t xml:space="preserve">.- </t>
    </r>
  </si>
  <si>
    <t xml:space="preserve">Eliminacion de ventas de servicios de Megadatos a Telconet</t>
  </si>
  <si>
    <t xml:space="preserve">SUMAN</t>
  </si>
  <si>
    <t xml:space="preserve">-2-</t>
  </si>
  <si>
    <r>
      <rPr>
        <u val="single"/>
        <sz val="11"/>
        <color rgb="FF000000"/>
        <rFont val="Calibri"/>
        <family val="2"/>
        <charset val="1"/>
      </rPr>
      <t xml:space="preserve">Cuenta por Pagar relacionadas C/P (Megadatos)</t>
    </r>
    <r>
      <rPr>
        <sz val="11"/>
        <color rgb="FF000000"/>
        <rFont val="Calibri"/>
        <family val="2"/>
        <charset val="1"/>
      </rPr>
      <t xml:space="preserve">.-</t>
    </r>
  </si>
  <si>
    <r>
      <rPr>
        <u val="single"/>
        <sz val="11"/>
        <color rgb="FF000000"/>
        <rFont val="Calibri"/>
        <family val="2"/>
        <charset val="1"/>
      </rPr>
      <t xml:space="preserve">Cuenta por Pagar relacionadas C/P (Telconet)</t>
    </r>
    <r>
      <rPr>
        <sz val="11"/>
        <color rgb="FF000000"/>
        <rFont val="Calibri"/>
        <family val="2"/>
        <charset val="1"/>
      </rPr>
      <t xml:space="preserve">.-</t>
    </r>
  </si>
  <si>
    <r>
      <rPr>
        <u val="single"/>
        <sz val="11"/>
        <color rgb="FF000000"/>
        <rFont val="Calibri"/>
        <family val="2"/>
        <charset val="1"/>
      </rPr>
      <t xml:space="preserve">Pasivos del Contrato C/P</t>
    </r>
    <r>
      <rPr>
        <sz val="11"/>
        <color rgb="FF000000"/>
        <rFont val="Calibri"/>
        <family val="2"/>
        <charset val="1"/>
      </rPr>
      <t xml:space="preserve">.-</t>
    </r>
  </si>
  <si>
    <t xml:space="preserve">Otros ingresos (gastos), neto .-</t>
  </si>
  <si>
    <t xml:space="preserve">Utilidades Retenidas al Principio del Periodo.-</t>
  </si>
  <si>
    <r>
      <rPr>
        <u val="single"/>
        <sz val="11"/>
        <color rgb="FF000000"/>
        <rFont val="Calibri"/>
        <family val="2"/>
        <charset val="1"/>
      </rPr>
      <t xml:space="preserve">à Cuenta por Cobrar relacionadas, C/P</t>
    </r>
    <r>
      <rPr>
        <sz val="11"/>
        <color rgb="FF000000"/>
        <rFont val="Calibri"/>
        <family val="2"/>
        <charset val="1"/>
      </rPr>
      <t xml:space="preserve">.- </t>
    </r>
  </si>
  <si>
    <t xml:space="preserve">Eliminacion de cuentas intercompany</t>
  </si>
  <si>
    <t xml:space="preserve">-3-</t>
  </si>
  <si>
    <r>
      <rPr>
        <u val="single"/>
        <sz val="11"/>
        <color rgb="FF000000"/>
        <rFont val="Calibri"/>
        <family val="2"/>
        <charset val="1"/>
      </rPr>
      <t xml:space="preserve">Ingresos por Ventas, Telconet</t>
    </r>
    <r>
      <rPr>
        <sz val="11"/>
        <color rgb="FF000000"/>
        <rFont val="Calibri"/>
        <family val="2"/>
        <charset val="1"/>
      </rPr>
      <t xml:space="preserve">.-</t>
    </r>
  </si>
  <si>
    <t xml:space="preserve">à Propiedades y Equipos, Megadatos (Equipos para prestación de servicios).-</t>
  </si>
  <si>
    <r>
      <rPr>
        <u val="single"/>
        <sz val="11"/>
        <color rgb="FF000000"/>
        <rFont val="Calibri"/>
        <family val="2"/>
        <charset val="1"/>
      </rPr>
      <t xml:space="preserve">à Costo de Ventas Megadatos</t>
    </r>
    <r>
      <rPr>
        <sz val="11"/>
        <color rgb="FF000000"/>
        <rFont val="Calibri"/>
        <family val="2"/>
        <charset val="1"/>
      </rPr>
      <t xml:space="preserve">.- </t>
    </r>
  </si>
  <si>
    <r>
      <rPr>
        <u val="single"/>
        <sz val="11"/>
        <color rgb="FF000000"/>
        <rFont val="Calibri"/>
        <family val="2"/>
        <charset val="1"/>
      </rPr>
      <t xml:space="preserve">à Anticipos Proveedores Relacionados (ACTIVO)</t>
    </r>
    <r>
      <rPr>
        <sz val="11"/>
        <color rgb="FF000000"/>
        <rFont val="Calibri"/>
        <family val="2"/>
        <charset val="1"/>
      </rPr>
      <t xml:space="preserve">.- </t>
    </r>
  </si>
  <si>
    <t xml:space="preserve">Eliminacion de ventas de servicios deTelconet a Megadatos</t>
  </si>
  <si>
    <t xml:space="preserve">-4-</t>
  </si>
  <si>
    <t xml:space="preserve">Pasivos del contrato C/P (telconet).-</t>
  </si>
  <si>
    <t xml:space="preserve">Pasivos del contrato L/P (Telconet).-</t>
  </si>
  <si>
    <r>
      <rPr>
        <u val="single"/>
        <sz val="11"/>
        <color rgb="FF000000"/>
        <rFont val="Calibri"/>
        <family val="2"/>
        <charset val="1"/>
      </rPr>
      <t xml:space="preserve">Ingresos Diferidos Telconet, No  Corriente</t>
    </r>
    <r>
      <rPr>
        <sz val="11"/>
        <color rgb="FF000000"/>
        <rFont val="Calibri"/>
        <family val="2"/>
        <charset val="1"/>
      </rPr>
      <t xml:space="preserve">.-</t>
    </r>
  </si>
  <si>
    <r>
      <rPr>
        <u val="single"/>
        <sz val="11"/>
        <color rgb="FF000000"/>
        <rFont val="Calibri"/>
        <family val="2"/>
        <charset val="1"/>
      </rPr>
      <t xml:space="preserve">Ingresos Diferidos Telconet, Corriente</t>
    </r>
    <r>
      <rPr>
        <sz val="11"/>
        <color rgb="FF000000"/>
        <rFont val="Calibri"/>
        <family val="2"/>
        <charset val="1"/>
      </rPr>
      <t xml:space="preserve">.-</t>
    </r>
  </si>
  <si>
    <r>
      <rPr>
        <u val="single"/>
        <sz val="11"/>
        <color rgb="FF000000"/>
        <rFont val="Calibri"/>
        <family val="2"/>
        <charset val="1"/>
      </rPr>
      <t xml:space="preserve">Utilidades Retenidas al Principio del Periodo</t>
    </r>
    <r>
      <rPr>
        <sz val="11"/>
        <color rgb="FF000000"/>
        <rFont val="Calibri"/>
        <family val="2"/>
        <charset val="1"/>
      </rPr>
      <t xml:space="preserve"> .-</t>
    </r>
  </si>
  <si>
    <t xml:space="preserve">Utilidades Retenidas del Ejercicio .-</t>
  </si>
  <si>
    <t xml:space="preserve">Otros Egresos.-</t>
  </si>
  <si>
    <r>
      <rPr>
        <u val="single"/>
        <sz val="11"/>
        <color rgb="FF000000"/>
        <rFont val="Calibri"/>
        <family val="2"/>
        <charset val="1"/>
      </rPr>
      <t xml:space="preserve">à Cuentas por cobrar relacionadas C/P </t>
    </r>
    <r>
      <rPr>
        <sz val="11"/>
        <color rgb="FF000000"/>
        <rFont val="Calibri"/>
        <family val="2"/>
        <charset val="1"/>
      </rPr>
      <t xml:space="preserve">.- </t>
    </r>
  </si>
  <si>
    <t xml:space="preserve">-5-</t>
  </si>
  <si>
    <r>
      <rPr>
        <u val="single"/>
        <sz val="11"/>
        <color rgb="FF000000"/>
        <rFont val="Calibri"/>
        <family val="2"/>
        <charset val="1"/>
      </rPr>
      <t xml:space="preserve">Depreciación Acumulada</t>
    </r>
    <r>
      <rPr>
        <sz val="11"/>
        <color rgb="FF000000"/>
        <rFont val="Calibri"/>
        <family val="2"/>
        <charset val="1"/>
      </rPr>
      <t xml:space="preserve">.-</t>
    </r>
  </si>
  <si>
    <r>
      <rPr>
        <u val="single"/>
        <sz val="11"/>
        <color rgb="FF000000"/>
        <rFont val="Calibri"/>
        <family val="2"/>
        <charset val="1"/>
      </rPr>
      <t xml:space="preserve">á Costo de Ventas (Gasto depreciación)</t>
    </r>
    <r>
      <rPr>
        <sz val="11"/>
        <color rgb="FF000000"/>
        <rFont val="Calibri"/>
        <family val="2"/>
        <charset val="1"/>
      </rPr>
      <t xml:space="preserve">.- </t>
    </r>
  </si>
  <si>
    <t xml:space="preserve">Eliminación gasto de depreciación de activos fijos en Megadatos; Equipos para la prestación de los servicios</t>
  </si>
  <si>
    <t xml:space="preserve">-6-</t>
  </si>
  <si>
    <t xml:space="preserve">Utilidades Retenidas al Inicio del Periodo.- </t>
  </si>
  <si>
    <r>
      <rPr>
        <u val="single"/>
        <sz val="11"/>
        <color rgb="FF000000"/>
        <rFont val="Calibri"/>
        <family val="2"/>
        <charset val="1"/>
      </rPr>
      <t xml:space="preserve">Impuesto diferido</t>
    </r>
    <r>
      <rPr>
        <sz val="11"/>
        <color rgb="FF000000"/>
        <rFont val="Calibri"/>
        <family val="2"/>
        <charset val="1"/>
      </rPr>
      <t xml:space="preserve">.-</t>
    </r>
  </si>
  <si>
    <r>
      <rPr>
        <u val="single"/>
        <sz val="11"/>
        <color rgb="FF000000"/>
        <rFont val="Calibri"/>
        <family val="2"/>
        <charset val="1"/>
      </rPr>
      <t xml:space="preserve">Depreciación acumulada</t>
    </r>
    <r>
      <rPr>
        <sz val="11"/>
        <color rgb="FF000000"/>
        <rFont val="Calibri"/>
        <family val="2"/>
        <charset val="1"/>
      </rPr>
      <t xml:space="preserve">. -</t>
    </r>
  </si>
  <si>
    <r>
      <rPr>
        <u val="single"/>
        <sz val="11"/>
        <color rgb="FF000000"/>
        <rFont val="Calibri"/>
        <family val="2"/>
        <charset val="1"/>
      </rPr>
      <t xml:space="preserve">Otros ingresos, neto</t>
    </r>
    <r>
      <rPr>
        <sz val="11"/>
        <color rgb="FF000000"/>
        <rFont val="Calibri"/>
        <family val="2"/>
        <charset val="1"/>
      </rPr>
      <t xml:space="preserve">.-</t>
    </r>
  </si>
  <si>
    <r>
      <rPr>
        <u val="single"/>
        <sz val="11"/>
        <color rgb="FF000000"/>
        <rFont val="Calibri"/>
        <family val="2"/>
        <charset val="1"/>
      </rPr>
      <t xml:space="preserve">à Otros Egresos</t>
    </r>
    <r>
      <rPr>
        <sz val="11"/>
        <color rgb="FF000000"/>
        <rFont val="Calibri"/>
        <family val="2"/>
        <charset val="1"/>
      </rPr>
      <t xml:space="preserve">.- </t>
    </r>
  </si>
  <si>
    <t xml:space="preserve">à Ingresos por Ventas, Telconet</t>
  </si>
  <si>
    <r>
      <rPr>
        <u val="single"/>
        <sz val="11"/>
        <color rgb="FF000000"/>
        <rFont val="Calibri"/>
        <family val="2"/>
        <charset val="1"/>
      </rPr>
      <t xml:space="preserve">à Costo de Ventas</t>
    </r>
    <r>
      <rPr>
        <sz val="11"/>
        <color rgb="FF000000"/>
        <rFont val="Calibri"/>
        <family val="2"/>
        <charset val="1"/>
      </rPr>
      <t xml:space="preserve">.- </t>
    </r>
  </si>
  <si>
    <r>
      <rPr>
        <u val="single"/>
        <sz val="11"/>
        <color rgb="FF000000"/>
        <rFont val="Calibri"/>
        <family val="2"/>
        <charset val="1"/>
      </rPr>
      <t xml:space="preserve">á Anticipos a Proveedores Relacionados</t>
    </r>
    <r>
      <rPr>
        <sz val="11"/>
        <color rgb="FF000000"/>
        <rFont val="Calibri"/>
        <family val="2"/>
        <charset val="1"/>
      </rPr>
      <t xml:space="preserve">.-</t>
    </r>
  </si>
  <si>
    <r>
      <rPr>
        <u val="single"/>
        <sz val="11"/>
        <color rgb="FF000000"/>
        <rFont val="Calibri"/>
        <family val="2"/>
        <charset val="1"/>
      </rPr>
      <t xml:space="preserve">à Propiedades y Equipos, Megadatos</t>
    </r>
    <r>
      <rPr>
        <sz val="11"/>
        <color rgb="FF000000"/>
        <rFont val="Calibri"/>
        <family val="2"/>
        <charset val="1"/>
      </rPr>
      <t xml:space="preserve">.-</t>
    </r>
  </si>
  <si>
    <t xml:space="preserve">Restauracion de utilidades retenidas al inicio del ejercicio</t>
  </si>
  <si>
    <t xml:space="preserve">-7-</t>
  </si>
  <si>
    <r>
      <rPr>
        <u val="single"/>
        <sz val="11"/>
        <color rgb="FF000000"/>
        <rFont val="Calibri"/>
        <family val="2"/>
        <charset val="1"/>
      </rPr>
      <t xml:space="preserve">á Impuesto a la renta (GASTO)</t>
    </r>
    <r>
      <rPr>
        <sz val="11"/>
        <color rgb="FF000000"/>
        <rFont val="Calibri"/>
        <family val="2"/>
        <charset val="1"/>
      </rPr>
      <t xml:space="preserve">.-</t>
    </r>
  </si>
  <si>
    <t xml:space="preserve">Ajuste del impuesto diferido por cambio en la tasa de 22% a</t>
  </si>
  <si>
    <t xml:space="preserve">25%</t>
  </si>
  <si>
    <t xml:space="preserve">-8-</t>
  </si>
  <si>
    <t xml:space="preserve">Impuesto diferido originado por la venta de activos fijos del anio</t>
  </si>
  <si>
    <t xml:space="preserve">y ajuste del gasto de depreciación</t>
  </si>
  <si>
    <t xml:space="preserve">TOTAL</t>
  </si>
  <si>
    <t xml:space="preserve">Utilidades retenidas al inicio del periodo</t>
  </si>
  <si>
    <t xml:space="preserve">Utilidades retenidas del ejercicio</t>
  </si>
  <si>
    <t xml:space="preserve">Total de ajustes a utilidades retenidas</t>
  </si>
  <si>
    <t xml:space="preserve">TELCONET S.A. Y COMPANIA RELACIONADA</t>
  </si>
  <si>
    <t xml:space="preserve">ANALISIS DEL IMPUESTO DIFERIDO</t>
  </si>
  <si>
    <t xml:space="preserve">Al 31 de diciembre del 2019</t>
  </si>
  <si>
    <t xml:space="preserve">COMENTARIOS</t>
  </si>
  <si>
    <t xml:space="preserve">EFECTO DE LOS AJUSTES EN RESULTADOS</t>
  </si>
  <si>
    <t xml:space="preserve">1) Eliminacion de ventas de activos fijos de Telconet a Megadatos</t>
  </si>
  <si>
    <t xml:space="preserve">Valor de acuerdo con el informe de auditoria de Megadatos</t>
  </si>
  <si>
    <t xml:space="preserve">2) Eliminación del gasto de depreciación de los activos fijos comprados</t>
  </si>
  <si>
    <t xml:space="preserve">Gasto total de depreciación de equipos para prestación de servicios (Megadatos)</t>
  </si>
  <si>
    <t xml:space="preserve">3) Impuesto diferido</t>
  </si>
  <si>
    <t xml:space="preserve">Valor calculado como el 25% de los efectos de ajustes al P&amp;G en 2018 (22% en anios</t>
  </si>
  <si>
    <t xml:space="preserve">Otros</t>
  </si>
  <si>
    <t xml:space="preserve">anteriores</t>
  </si>
  <si>
    <t xml:space="preserve">DETALLE DE TRANSACCIONES ENTRE TELCONET Y MEGADATOS</t>
  </si>
  <si>
    <t xml:space="preserve">Según informe de Telconet:</t>
  </si>
  <si>
    <t xml:space="preserve">Ventas de Telconet a Megadatos</t>
  </si>
  <si>
    <t xml:space="preserve">Sin embargo el ajuste se hizo únicamente por US$42,5 millones</t>
  </si>
  <si>
    <t xml:space="preserve">Según informe de Megadatos:</t>
  </si>
  <si>
    <t xml:space="preserve">a) Compras de activos fijos</t>
  </si>
  <si>
    <t xml:space="preserve">Valores corroborados con el informe de Megadatos</t>
  </si>
  <si>
    <t xml:space="preserve">b) Cargos al costo de ventas</t>
  </si>
  <si>
    <t xml:space="preserve">c) Valor registrado como Anticipos a Proveedores Relacionados según la nota 22 b) del informe de Megadatos</t>
  </si>
  <si>
    <t xml:space="preserve">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</si>
  <si>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 xml:space="preserve">SI LOS AJUSTES ESTUVIERAN BIEN Y SUPONIENDO QUE NO HAYA MAS VENTAS DE ACTIVOS FIJOS EN EL FUTURO:</t>
  </si>
  <si>
    <t xml:space="preserve">ANIOS</t>
  </si>
  <si>
    <t xml:space="preserve">Eliminación de activos fijos</t>
  </si>
  <si>
    <t xml:space="preserve">Eliminación depreciación</t>
  </si>
  <si>
    <t xml:space="preserve">Efecto en resultados acumulados</t>
  </si>
  <si>
    <t xml:space="preserve">Impuesto diferido por combinacion</t>
  </si>
  <si>
    <t xml:space="preserve">Efecto en resultados</t>
  </si>
  <si>
    <t xml:space="preserve">Si no se dan más ventas de activos fijos de Telconet a Megadatos, entonces</t>
  </si>
  <si>
    <t xml:space="preserve">únicamente se eliminará la depreciación en los próximos tres anios (período de</t>
  </si>
  <si>
    <t xml:space="preserve">depreciación de los equipos), con lo cual en los anios futuros se reversa el efecto</t>
  </si>
  <si>
    <t xml:space="preserve">del impuesto diferido que surge de la combinación</t>
  </si>
  <si>
    <t xml:space="preserve">Subtotal</t>
  </si>
  <si>
    <t xml:space="preserve">Saldo de US$15 mil, no material, originado por otros ajustes menores y que se </t>
  </si>
  <si>
    <t xml:space="preserve">liquidarán en el último anio</t>
  </si>
  <si>
    <t xml:space="preserve">INDICADORES FINANCIEROS</t>
  </si>
  <si>
    <t xml:space="preserve">EBITDA to Net Financial Expenses Ratio</t>
  </si>
  <si>
    <t xml:space="preserve">EBITDA = Earnings before interests, taxes, depreciation &amp; amortization</t>
  </si>
  <si>
    <t xml:space="preserve">Earnings before taxes</t>
  </si>
  <si>
    <t xml:space="preserve">(+) Interests</t>
  </si>
  <si>
    <t xml:space="preserve">(+) Depreciation &amp; Amortization</t>
  </si>
  <si>
    <t xml:space="preserve">EBITDA</t>
  </si>
  <si>
    <t xml:space="preserve">Net Financial Expenses</t>
  </si>
  <si>
    <t xml:space="preserve">DEBT SERVICE COVERAGE RATIO (DSCR)</t>
  </si>
  <si>
    <t xml:space="preserve">Net Operation Income</t>
  </si>
  <si>
    <t xml:space="preserve">Debt Service:</t>
  </si>
  <si>
    <t xml:space="preserve">…Prestamos y obligaciones financieras (corrientes)</t>
  </si>
  <si>
    <t xml:space="preserve">…Intereses por pagar</t>
  </si>
  <si>
    <t xml:space="preserve">Total Debt Service</t>
  </si>
  <si>
    <t xml:space="preserve">DEBT Service Coverage Ratio (DSCR)</t>
  </si>
  <si>
    <t xml:space="preserve">FINANCIAL DEBT TO EBITDA RATIO</t>
  </si>
  <si>
    <t xml:space="preserve">Financial Debt</t>
  </si>
  <si>
    <t xml:space="preserve">Financial Debt to EBITDA Ratio</t>
  </si>
  <si>
    <t xml:space="preserve">COMPRAS DE ACTIVOS FIJOS A TELCONET Y DEPRECIACION EN MEGADATOS:</t>
  </si>
  <si>
    <t xml:space="preserve">COMPRAS</t>
  </si>
  <si>
    <t xml:space="preserve">% depreciac.</t>
  </si>
  <si>
    <t xml:space="preserve">GASTO 2016</t>
  </si>
  <si>
    <t xml:space="preserve">Compras 2016</t>
  </si>
  <si>
    <t xml:space="preserve">Compras 2015</t>
  </si>
  <si>
    <t xml:space="preserve">Compras 2014</t>
  </si>
  <si>
    <t xml:space="preserve">Enero</t>
  </si>
  <si>
    <t xml:space="preserve">Febrero</t>
  </si>
  <si>
    <t xml:space="preserve">Marzo</t>
  </si>
  <si>
    <t xml:space="preserve">Abril</t>
  </si>
  <si>
    <t xml:space="preserve">Mayo</t>
  </si>
  <si>
    <t xml:space="preserve">Junio</t>
  </si>
  <si>
    <t xml:space="preserve">Julio</t>
  </si>
  <si>
    <t xml:space="preserve">Agosto</t>
  </si>
  <si>
    <t xml:space="preserve">Septiembre</t>
  </si>
  <si>
    <t xml:space="preserve">Octubre</t>
  </si>
  <si>
    <t xml:space="preserve">Noviembre</t>
  </si>
  <si>
    <t xml:space="preserve">Diciembre</t>
  </si>
  <si>
    <t xml:space="preserve">Activos fijos cargados a gastos en 2014</t>
  </si>
  <si>
    <t xml:space="preserve">Activos fijos cargados a gastos en 2015</t>
  </si>
  <si>
    <t xml:space="preserve">Activos fijos cargados a gastos en 2016</t>
  </si>
</sst>
</file>

<file path=xl/styles.xml><?xml version="1.0" encoding="utf-8"?>
<styleSheet xmlns="http://schemas.openxmlformats.org/spreadsheetml/2006/main">
  <numFmts count="15">
    <numFmt numFmtId="164" formatCode="General"/>
    <numFmt numFmtId="165" formatCode="_ * #,##0.00_ ;_ * \-#,##0.00_ ;_ * \-??_ ;_ @_ "/>
    <numFmt numFmtId="166" formatCode="_(* #,##0.00_);_(* \(#,##0.00\);_(* \-??_);_(@_)"/>
    <numFmt numFmtId="167" formatCode="_(* #,##0_);_(* \(#,##0\);_(* \-??_);_(@_)"/>
    <numFmt numFmtId="168" formatCode="0\ %"/>
    <numFmt numFmtId="169" formatCode="0"/>
    <numFmt numFmtId="170" formatCode="_ * #,##0_ ;_ * \-#,##0_ ;_ * \-??_ ;_ @_ "/>
    <numFmt numFmtId="171" formatCode="_ * #,##0_ ;\(* #,##0\);_ * \-??_ ;_ @_ "/>
    <numFmt numFmtId="172" formatCode="#,##0;[RED]#,##0"/>
    <numFmt numFmtId="173" formatCode="#,##0.00;[RED]#,##0.00"/>
    <numFmt numFmtId="174" formatCode="_ * #,##0_ ;\(* #,##0\);_ * \-_ ;_ @_ "/>
    <numFmt numFmtId="175" formatCode="#,##0_);\(#,##0\)"/>
    <numFmt numFmtId="176" formatCode="0.0%"/>
    <numFmt numFmtId="177" formatCode="0.0"/>
    <numFmt numFmtId="178" formatCode="_(* #,##0.0_);_(* \(#,##0.0\);_(* \-??_);_(@_)"/>
  </numFmts>
  <fonts count="2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MS Sans Serif"/>
      <family val="2"/>
      <charset val="1"/>
    </font>
    <font>
      <u val="single"/>
      <sz val="11"/>
      <color rgb="FF0563C1"/>
      <name val="Calibri"/>
      <family val="2"/>
      <charset val="1"/>
    </font>
    <font>
      <b val="true"/>
      <u val="single"/>
      <sz val="11"/>
      <color rgb="FF000000"/>
      <name val="Calibri"/>
      <family val="2"/>
      <charset val="1"/>
    </font>
    <font>
      <b val="true"/>
      <sz val="11"/>
      <color rgb="FF000000"/>
      <name val="Calibri"/>
      <family val="2"/>
      <charset val="1"/>
    </font>
    <font>
      <u val="single"/>
      <sz val="11"/>
      <color rgb="FF000000"/>
      <name val="Calibri"/>
      <family val="2"/>
      <charset val="1"/>
    </font>
    <font>
      <b val="true"/>
      <sz val="9"/>
      <color rgb="FF000000"/>
      <name val="Calibri"/>
      <family val="2"/>
      <charset val="1"/>
    </font>
    <font>
      <i val="true"/>
      <sz val="8"/>
      <color rgb="FF000000"/>
      <name val="Calibri"/>
      <family val="2"/>
      <charset val="1"/>
    </font>
    <font>
      <sz val="9"/>
      <color rgb="FF000000"/>
      <name val="Calibri"/>
      <family val="2"/>
      <charset val="1"/>
    </font>
    <font>
      <b val="true"/>
      <sz val="10"/>
      <color rgb="FF000000"/>
      <name val="Calibri"/>
      <family val="2"/>
      <charset val="1"/>
    </font>
    <font>
      <sz val="10"/>
      <color rgb="FF000000"/>
      <name val="Calibri"/>
      <family val="2"/>
      <charset val="1"/>
    </font>
    <font>
      <sz val="8"/>
      <color rgb="FF000000"/>
      <name val="Calibri"/>
      <family val="2"/>
      <charset val="1"/>
    </font>
    <font>
      <sz val="7"/>
      <color rgb="FF000000"/>
      <name val="Calibri"/>
      <family val="2"/>
      <charset val="1"/>
    </font>
    <font>
      <sz val="9"/>
      <color rgb="FF000000"/>
      <name val="Arial"/>
      <family val="2"/>
      <charset val="1"/>
    </font>
    <font>
      <sz val="9"/>
      <color rgb="FFFF0000"/>
      <name val="Arial"/>
      <family val="2"/>
      <charset val="1"/>
    </font>
    <font>
      <sz val="9"/>
      <name val="Arial"/>
      <family val="2"/>
      <charset val="1"/>
    </font>
    <font>
      <u val="single"/>
      <sz val="9"/>
      <name val="Arial"/>
      <family val="2"/>
      <charset val="1"/>
    </font>
    <font>
      <u val="single"/>
      <sz val="9"/>
      <color rgb="FFFF0000"/>
      <name val="Arial"/>
      <family val="2"/>
      <charset val="1"/>
    </font>
    <font>
      <b val="true"/>
      <sz val="9"/>
      <name val="Arial"/>
      <family val="2"/>
      <charset val="1"/>
    </font>
    <font>
      <b val="true"/>
      <u val="single"/>
      <sz val="9"/>
      <name val="Arial"/>
      <family val="2"/>
      <charset val="1"/>
    </font>
    <font>
      <sz val="7"/>
      <color rgb="FF000000"/>
      <name val="Arial"/>
      <family val="2"/>
      <charset val="1"/>
    </font>
    <font>
      <u val="single"/>
      <sz val="9"/>
      <color rgb="FF000000"/>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C0C0C0"/>
      </patternFill>
    </fill>
  </fills>
  <borders count="29">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diagonal/>
    </border>
    <border diagonalUp="false" diagonalDown="false">
      <left style="thin"/>
      <right style="thin"/>
      <top/>
      <bottom style="hair"/>
      <diagonal/>
    </border>
    <border diagonalUp="false" diagonalDown="false">
      <left/>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style="thin"/>
      <bottom style="double"/>
      <diagonal/>
    </border>
    <border diagonalUp="false" diagonalDown="false">
      <left/>
      <right/>
      <top style="thin"/>
      <bottom style="double"/>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style="hair"/>
      <top/>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thin"/>
      <bottom style="thin"/>
      <diagonal/>
    </border>
    <border diagonalUp="false" diagonalDown="false">
      <left style="hair"/>
      <right style="hair"/>
      <top style="thin"/>
      <bottom/>
      <diagonal/>
    </border>
    <border diagonalUp="false" diagonalDown="false">
      <left style="hair"/>
      <right style="hair"/>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6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0" fillId="0" borderId="2" xfId="15" applyFont="true" applyBorder="true" applyAlignment="true" applyProtection="true">
      <alignment horizontal="general" vertical="bottom" textRotation="0" wrapText="false" indent="0" shrinkToFit="false"/>
      <protection locked="true" hidden="false"/>
    </xf>
    <xf numFmtId="167" fontId="0" fillId="0" borderId="3"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4" xfId="15" applyFont="true" applyBorder="true" applyAlignment="true" applyProtection="true">
      <alignment horizontal="general" vertical="bottom" textRotation="0" wrapText="false" indent="0" shrinkToFit="false"/>
      <protection locked="true" hidden="false"/>
    </xf>
    <xf numFmtId="167" fontId="0" fillId="0" borderId="5" xfId="15" applyFont="true" applyBorder="true" applyAlignment="true" applyProtection="true">
      <alignment horizontal="general" vertical="bottom" textRotation="0" wrapText="false" indent="0" shrinkToFit="false"/>
      <protection locked="true" hidden="false"/>
    </xf>
    <xf numFmtId="167" fontId="0" fillId="0" borderId="4" xfId="15" applyFont="true" applyBorder="true" applyAlignment="true" applyProtection="true">
      <alignment horizontal="center" vertical="bottom" textRotation="0" wrapText="false" indent="0" shrinkToFit="false"/>
      <protection locked="true" hidden="false"/>
    </xf>
    <xf numFmtId="164" fontId="0" fillId="0" borderId="5" xfId="15" applyFont="true" applyBorder="true" applyAlignment="true" applyProtection="true">
      <alignment horizontal="center" vertical="bottom" textRotation="0" wrapText="false" indent="0" shrinkToFit="false"/>
      <protection locked="true" hidden="false"/>
    </xf>
    <xf numFmtId="167" fontId="9" fillId="0" borderId="4" xfId="15" applyFont="true" applyBorder="true" applyAlignment="true" applyProtection="true">
      <alignment horizontal="center" vertical="bottom" textRotation="0" wrapText="false" indent="0" shrinkToFit="false"/>
      <protection locked="true" hidden="false"/>
    </xf>
    <xf numFmtId="167" fontId="9" fillId="0" borderId="5" xfId="15" applyFont="true" applyBorder="true" applyAlignment="true" applyProtection="true">
      <alignment horizontal="center" vertical="bottom" textRotation="0" wrapText="false" indent="0" shrinkToFit="false"/>
      <protection locked="true" hidden="false"/>
    </xf>
    <xf numFmtId="167" fontId="9" fillId="0" borderId="0" xfId="15" applyFont="true" applyBorder="true" applyAlignment="true" applyProtection="true">
      <alignment horizontal="center" vertical="bottom" textRotation="0" wrapText="false" indent="0" shrinkToFit="false"/>
      <protection locked="true" hidden="false"/>
    </xf>
    <xf numFmtId="167" fontId="9" fillId="0" borderId="4" xfId="15" applyFont="tru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7" fontId="0" fillId="0" borderId="6" xfId="15" applyFont="true" applyBorder="true" applyAlignment="true" applyProtection="true">
      <alignment horizontal="general" vertical="bottom" textRotation="0" wrapText="false" indent="0" shrinkToFit="false"/>
      <protection locked="true" hidden="false"/>
    </xf>
    <xf numFmtId="167" fontId="0" fillId="0" borderId="2"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7" xfId="0" applyFont="true" applyBorder="true" applyAlignment="true" applyProtection="false">
      <alignment horizontal="left" vertical="bottom" textRotation="0" wrapText="true" indent="0" shrinkToFit="false"/>
      <protection locked="true" hidden="false"/>
    </xf>
    <xf numFmtId="167" fontId="0" fillId="0" borderId="8" xfId="15" applyFont="true" applyBorder="true" applyAlignment="true" applyProtection="true">
      <alignment horizontal="general" vertical="bottom" textRotation="0" wrapText="false" indent="0" shrinkToFit="false"/>
      <protection locked="true" hidden="false"/>
    </xf>
    <xf numFmtId="167" fontId="0" fillId="0" borderId="7" xfId="15" applyFont="true" applyBorder="true" applyAlignment="true" applyProtection="true">
      <alignment horizontal="general" vertical="bottom" textRotation="0" wrapText="false" indent="0" shrinkToFit="false"/>
      <protection locked="true" hidden="false"/>
    </xf>
    <xf numFmtId="167" fontId="0" fillId="0" borderId="9" xfId="15" applyFont="true" applyBorder="true" applyAlignment="true" applyProtection="true">
      <alignment horizontal="general" vertical="bottom" textRotation="0" wrapText="false" indent="0" shrinkToFit="false"/>
      <protection locked="true" hidden="false"/>
    </xf>
    <xf numFmtId="167" fontId="0" fillId="0" borderId="10" xfId="15"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7" fontId="0" fillId="2" borderId="4" xfId="15"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7" fontId="0" fillId="3" borderId="4" xfId="15"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9" fillId="0" borderId="5" xfId="0" applyFont="true" applyBorder="true" applyAlignment="true" applyProtection="false">
      <alignment horizontal="center"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7" fontId="0" fillId="0" borderId="11" xfId="15" applyFont="true" applyBorder="true" applyAlignment="true" applyProtection="true">
      <alignment horizontal="general" vertical="bottom" textRotation="0" wrapText="false" indent="0" shrinkToFit="false"/>
      <protection locked="true" hidden="false"/>
    </xf>
    <xf numFmtId="168" fontId="0" fillId="0" borderId="5" xfId="19" applyFont="true" applyBorder="true" applyAlignment="true" applyProtection="true">
      <alignment horizontal="general" vertical="bottom" textRotation="0" wrapText="false" indent="0" shrinkToFit="false"/>
      <protection locked="true" hidden="false"/>
    </xf>
    <xf numFmtId="164" fontId="12" fillId="0" borderId="10" xfId="0" applyFont="true" applyBorder="true" applyAlignment="true" applyProtection="false">
      <alignment horizontal="left"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0" fillId="0" borderId="6"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8"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left" vertical="bottom" textRotation="0" wrapText="true" indent="0" shrinkToFit="false"/>
      <protection locked="true" hidden="false"/>
    </xf>
    <xf numFmtId="166" fontId="0" fillId="0" borderId="2" xfId="15" applyFont="true" applyBorder="true" applyAlignment="true" applyProtection="true">
      <alignment horizontal="general" vertical="bottom" textRotation="0" wrapText="false" indent="0" shrinkToFit="false"/>
      <protection locked="true" hidden="false"/>
    </xf>
    <xf numFmtId="164" fontId="13" fillId="0" borderId="13"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tru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7" fontId="0" fillId="2" borderId="5" xfId="15" applyFont="true" applyBorder="true" applyAlignment="true" applyProtection="true">
      <alignment horizontal="general" vertical="bottom" textRotation="0" wrapText="false" indent="0" shrinkToFit="false"/>
      <protection locked="true" hidden="false"/>
    </xf>
    <xf numFmtId="164" fontId="10" fillId="0" borderId="13" xfId="0" applyFont="true" applyBorder="true" applyAlignment="false" applyProtection="false">
      <alignment horizontal="general" vertical="bottom" textRotation="0" wrapText="fals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7" fontId="8" fillId="0" borderId="7" xfId="15" applyFont="true" applyBorder="true" applyAlignment="true" applyProtection="true">
      <alignment horizontal="general" vertical="bottom" textRotation="0" wrapText="false" indent="0" shrinkToFit="false"/>
      <protection locked="true" hidden="false"/>
    </xf>
    <xf numFmtId="167" fontId="8" fillId="0" borderId="6" xfId="15" applyFont="true" applyBorder="true" applyAlignment="true" applyProtection="true">
      <alignment horizontal="general" vertical="bottom" textRotation="0" wrapText="false" indent="0" shrinkToFit="false"/>
      <protection locked="true" hidden="false"/>
    </xf>
    <xf numFmtId="169" fontId="8" fillId="0" borderId="6" xfId="15"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7" fontId="16" fillId="0" borderId="0" xfId="15" applyFont="true" applyBorder="true" applyAlignment="true" applyProtection="true">
      <alignment horizontal="general" vertical="bottom" textRotation="0" wrapText="fals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7" fontId="18" fillId="3" borderId="0" xfId="15" applyFont="true" applyBorder="true" applyAlignment="true" applyProtection="tru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9" fillId="3" borderId="0" xfId="0" applyFont="true" applyBorder="false" applyAlignment="false" applyProtection="false">
      <alignment horizontal="general" vertical="bottom" textRotation="0" wrapText="false" indent="0" shrinkToFit="false"/>
      <protection locked="true" hidden="false"/>
    </xf>
    <xf numFmtId="167" fontId="18" fillId="3" borderId="0" xfId="15" applyFont="true" applyBorder="true" applyAlignment="true" applyProtection="true">
      <alignment horizontal="center" vertical="bottom" textRotation="0" wrapText="false" indent="0" shrinkToFit="false"/>
      <protection locked="true" hidden="false"/>
    </xf>
    <xf numFmtId="164" fontId="19" fillId="3" borderId="0" xfId="0" applyFont="true" applyBorder="false" applyAlignment="true" applyProtection="false">
      <alignment horizontal="center" vertical="bottom" textRotation="0" wrapText="false" indent="0" shrinkToFit="false"/>
      <protection locked="true" hidden="false"/>
    </xf>
    <xf numFmtId="164" fontId="19" fillId="3" borderId="0" xfId="0" applyFont="true" applyBorder="false" applyAlignment="true" applyProtection="false">
      <alignment horizontal="center" vertical="bottom" textRotation="0" wrapText="true" indent="0" shrinkToFit="false"/>
      <protection locked="true" hidden="false"/>
    </xf>
    <xf numFmtId="164" fontId="17" fillId="3" borderId="6" xfId="0" applyFont="true" applyBorder="true" applyAlignment="false" applyProtection="false">
      <alignment horizontal="general" vertical="bottom" textRotation="0" wrapText="false" indent="0" shrinkToFit="false"/>
      <protection locked="true" hidden="false"/>
    </xf>
    <xf numFmtId="164" fontId="19" fillId="3" borderId="6" xfId="0" applyFont="true" applyBorder="true" applyAlignment="true" applyProtection="false">
      <alignment horizontal="center" vertical="bottom" textRotation="0" wrapText="false" indent="0" shrinkToFit="false"/>
      <protection locked="true" hidden="false"/>
    </xf>
    <xf numFmtId="167" fontId="21" fillId="3" borderId="6" xfId="15" applyFont="true" applyBorder="true" applyAlignment="true" applyProtection="true">
      <alignment horizontal="center" vertical="bottom" textRotation="0" wrapText="false" indent="0" shrinkToFit="false"/>
      <protection locked="true" hidden="false"/>
    </xf>
    <xf numFmtId="167" fontId="21" fillId="3" borderId="0" xfId="15" applyFont="true" applyBorder="true" applyAlignment="true" applyProtection="true">
      <alignment horizontal="center" vertical="bottom" textRotation="0" wrapText="false" indent="0" shrinkToFit="false"/>
      <protection locked="true" hidden="false"/>
    </xf>
    <xf numFmtId="164" fontId="20" fillId="3" borderId="0" xfId="0" applyFont="true" applyBorder="false" applyAlignment="true" applyProtection="false">
      <alignment horizontal="center" vertical="bottom" textRotation="0" wrapText="false" indent="0" shrinkToFit="false"/>
      <protection locked="true" hidden="false"/>
    </xf>
    <xf numFmtId="164" fontId="17" fillId="3" borderId="6" xfId="0" applyFont="true" applyBorder="true" applyAlignment="true" applyProtection="false">
      <alignment horizontal="center" vertical="bottom" textRotation="0" wrapText="false" indent="0" shrinkToFit="false"/>
      <protection locked="true" hidden="false"/>
    </xf>
    <xf numFmtId="166" fontId="22" fillId="3" borderId="0" xfId="22" applyFont="true" applyBorder="true" applyAlignment="true" applyProtection="true">
      <alignment horizontal="general" vertical="bottom" textRotation="0" wrapText="false" indent="0" shrinkToFit="false"/>
      <protection locked="true" hidden="false"/>
    </xf>
    <xf numFmtId="164" fontId="23" fillId="3" borderId="0" xfId="0" applyFont="true" applyBorder="false" applyAlignment="true" applyProtection="false">
      <alignment horizontal="center" vertical="bottom" textRotation="0" wrapText="false" indent="0" shrinkToFit="false"/>
      <protection locked="true" hidden="false"/>
    </xf>
    <xf numFmtId="164" fontId="17" fillId="3" borderId="5" xfId="0" applyFont="true" applyBorder="true" applyAlignment="false" applyProtection="false">
      <alignment horizontal="general" vertical="bottom" textRotation="0" wrapText="false" indent="0" shrinkToFit="false"/>
      <protection locked="true" hidden="false"/>
    </xf>
    <xf numFmtId="164" fontId="19" fillId="3" borderId="5" xfId="0" applyFont="true" applyBorder="true" applyAlignment="false" applyProtection="false">
      <alignment horizontal="general" vertical="bottom" textRotation="0" wrapText="false" indent="0" shrinkToFit="false"/>
      <protection locked="true" hidden="false"/>
    </xf>
    <xf numFmtId="167" fontId="18" fillId="3" borderId="5" xfId="15" applyFont="true" applyBorder="true" applyAlignment="true" applyProtection="true">
      <alignment horizontal="center" vertical="bottom" textRotation="0" wrapText="false" indent="0" shrinkToFit="false"/>
      <protection locked="true" hidden="false"/>
    </xf>
    <xf numFmtId="164" fontId="19" fillId="3" borderId="5" xfId="0" applyFont="true" applyBorder="true" applyAlignment="true" applyProtection="false">
      <alignment horizontal="center" vertical="bottom" textRotation="0" wrapText="false" indent="0" shrinkToFit="false"/>
      <protection locked="true" hidden="false"/>
    </xf>
    <xf numFmtId="170" fontId="19" fillId="3" borderId="5" xfId="0" applyFont="true" applyBorder="true" applyAlignment="false" applyProtection="false">
      <alignment horizontal="general" vertical="bottom" textRotation="0" wrapText="false" indent="0" shrinkToFit="false"/>
      <protection locked="true" hidden="false"/>
    </xf>
    <xf numFmtId="164" fontId="19" fillId="3" borderId="0" xfId="0" applyFont="true" applyBorder="false" applyAlignment="true" applyProtection="false">
      <alignment horizontal="left" vertical="bottom" textRotation="0" wrapText="false" indent="0" shrinkToFit="false"/>
      <protection locked="true" hidden="false"/>
    </xf>
    <xf numFmtId="164" fontId="19" fillId="3" borderId="5" xfId="0" applyFont="true" applyBorder="true" applyAlignment="true" applyProtection="false">
      <alignment horizontal="left" vertical="bottom" textRotation="0" wrapText="false" indent="0" shrinkToFit="false"/>
      <protection locked="true" hidden="false"/>
    </xf>
    <xf numFmtId="164" fontId="19" fillId="3" borderId="0" xfId="24" applyFont="true" applyBorder="false" applyAlignment="true" applyProtection="false">
      <alignment horizontal="left" vertical="bottom" textRotation="0" wrapText="false" indent="0" shrinkToFit="false"/>
      <protection locked="true" hidden="false"/>
    </xf>
    <xf numFmtId="170" fontId="19" fillId="3" borderId="5" xfId="24" applyFont="true" applyBorder="true" applyAlignment="true" applyProtection="false">
      <alignment horizontal="left" vertical="bottom" textRotation="0" wrapText="false" indent="0" shrinkToFit="false"/>
      <protection locked="true" hidden="false"/>
    </xf>
    <xf numFmtId="164" fontId="19" fillId="3" borderId="5" xfId="24" applyFont="true" applyBorder="true" applyAlignment="true" applyProtection="false">
      <alignment horizontal="left" vertical="bottom" textRotation="0" wrapText="false" indent="0" shrinkToFit="false"/>
      <protection locked="true" hidden="false"/>
    </xf>
    <xf numFmtId="171" fontId="19" fillId="3" borderId="5" xfId="21" applyFont="true" applyBorder="true" applyAlignment="true" applyProtection="true">
      <alignment horizontal="general" vertical="bottom" textRotation="0" wrapText="false" indent="0" shrinkToFit="false"/>
      <protection locked="true" hidden="false"/>
    </xf>
    <xf numFmtId="171" fontId="19" fillId="3" borderId="0" xfId="21" applyFont="true" applyBorder="true" applyAlignment="true" applyProtection="true">
      <alignment horizontal="general" vertical="bottom" textRotation="0" wrapText="false" indent="0" shrinkToFit="false"/>
      <protection locked="true" hidden="false"/>
    </xf>
    <xf numFmtId="164" fontId="19" fillId="3" borderId="0" xfId="0" applyFont="true" applyBorder="false" applyAlignment="true" applyProtection="false">
      <alignment horizontal="left" vertical="bottom" textRotation="0" wrapText="false" indent="1" shrinkToFit="false"/>
      <protection locked="true" hidden="false"/>
    </xf>
    <xf numFmtId="167" fontId="17" fillId="3" borderId="5" xfId="15" applyFont="true" applyBorder="true" applyAlignment="true" applyProtection="true">
      <alignment horizontal="general" vertical="bottom" textRotation="0" wrapText="false" indent="0" shrinkToFit="false"/>
      <protection locked="true" hidden="false"/>
    </xf>
    <xf numFmtId="167" fontId="18" fillId="3" borderId="5" xfId="15" applyFont="true" applyBorder="true" applyAlignment="true" applyProtection="true">
      <alignment horizontal="right" vertical="bottom" textRotation="0" wrapText="false" indent="0" shrinkToFit="false"/>
      <protection locked="true" hidden="false"/>
    </xf>
    <xf numFmtId="172" fontId="19" fillId="3" borderId="5" xfId="22" applyFont="true" applyBorder="true" applyAlignment="true" applyProtection="true">
      <alignment horizontal="general" vertical="bottom" textRotation="0" wrapText="false" indent="0" shrinkToFit="false"/>
      <protection locked="true" hidden="false"/>
    </xf>
    <xf numFmtId="167" fontId="18" fillId="3" borderId="0" xfId="15" applyFont="true" applyBorder="true" applyAlignment="true" applyProtection="true">
      <alignment horizontal="right" vertical="bottom" textRotation="0" wrapText="false" indent="0" shrinkToFit="false"/>
      <protection locked="true" hidden="false"/>
    </xf>
    <xf numFmtId="172" fontId="19" fillId="3" borderId="0" xfId="0" applyFont="true" applyBorder="false" applyAlignment="false" applyProtection="false">
      <alignment horizontal="general" vertical="bottom" textRotation="0" wrapText="false" indent="0" shrinkToFit="false"/>
      <protection locked="true" hidden="false"/>
    </xf>
    <xf numFmtId="172" fontId="19" fillId="3" borderId="5" xfId="22" applyFont="true" applyBorder="true" applyAlignment="true" applyProtection="true">
      <alignment horizontal="right" vertical="bottom" textRotation="0" wrapText="false" indent="0" shrinkToFit="false"/>
      <protection locked="true" hidden="false"/>
    </xf>
    <xf numFmtId="167" fontId="19" fillId="3" borderId="0" xfId="22" applyFont="true" applyBorder="true" applyAlignment="true" applyProtection="true">
      <alignment horizontal="general" vertical="bottom" textRotation="0" wrapText="false" indent="0" shrinkToFit="false"/>
      <protection locked="true" hidden="false"/>
    </xf>
    <xf numFmtId="172" fontId="12" fillId="3" borderId="0" xfId="0" applyFont="true" applyBorder="false" applyAlignment="false" applyProtection="false">
      <alignment horizontal="general" vertical="bottom" textRotation="0" wrapText="false" indent="0" shrinkToFit="false"/>
      <protection locked="true" hidden="false"/>
    </xf>
    <xf numFmtId="170" fontId="17" fillId="3" borderId="0" xfId="0" applyFont="true" applyBorder="false" applyAlignment="false" applyProtection="false">
      <alignment horizontal="general" vertical="bottom" textRotation="0" wrapText="false" indent="0" shrinkToFit="false"/>
      <protection locked="true" hidden="false"/>
    </xf>
    <xf numFmtId="166" fontId="17" fillId="3" borderId="0" xfId="22" applyFont="true" applyBorder="true" applyAlignment="true" applyProtection="true">
      <alignment horizontal="general" vertical="bottom" textRotation="0" wrapText="false" indent="0" shrinkToFit="false"/>
      <protection locked="true" hidden="false"/>
    </xf>
    <xf numFmtId="172" fontId="19" fillId="3" borderId="5" xfId="21" applyFont="true" applyBorder="true" applyAlignment="true" applyProtection="true">
      <alignment horizontal="right" vertical="bottom" textRotation="0" wrapText="false" indent="0" shrinkToFit="false"/>
      <protection locked="true" hidden="false"/>
    </xf>
    <xf numFmtId="167" fontId="17" fillId="3" borderId="0" xfId="0" applyFont="true" applyBorder="false" applyAlignment="false" applyProtection="false">
      <alignment horizontal="general" vertical="bottom" textRotation="0" wrapText="false" indent="0" shrinkToFit="false"/>
      <protection locked="true" hidden="false"/>
    </xf>
    <xf numFmtId="172" fontId="19" fillId="3" borderId="9" xfId="0" applyFont="true" applyBorder="true" applyAlignment="false" applyProtection="false">
      <alignment horizontal="general" vertical="bottom" textRotation="0" wrapText="false" indent="0" shrinkToFit="false"/>
      <protection locked="true" hidden="false"/>
    </xf>
    <xf numFmtId="167" fontId="18" fillId="3" borderId="5" xfId="15" applyFont="true" applyBorder="true" applyAlignment="true" applyProtection="true">
      <alignment horizontal="general" vertical="bottom"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73" fontId="19" fillId="3" borderId="5" xfId="22" applyFont="true" applyBorder="true" applyAlignment="true" applyProtection="true">
      <alignment horizontal="general" vertical="bottom" textRotation="0" wrapText="false" indent="0" shrinkToFit="false"/>
      <protection locked="true" hidden="false"/>
    </xf>
    <xf numFmtId="173" fontId="19" fillId="3" borderId="0" xfId="0" applyFont="true" applyBorder="false" applyAlignment="false" applyProtection="false">
      <alignment horizontal="general" vertical="bottom" textRotation="0" wrapText="false" indent="0" shrinkToFit="false"/>
      <protection locked="true" hidden="false"/>
    </xf>
    <xf numFmtId="167" fontId="17" fillId="3" borderId="7" xfId="15" applyFont="true" applyBorder="true" applyAlignment="true" applyProtection="true">
      <alignment horizontal="general" vertical="bottom" textRotation="0" wrapText="false" indent="0" shrinkToFit="false"/>
      <protection locked="true" hidden="false"/>
    </xf>
    <xf numFmtId="167" fontId="17" fillId="3" borderId="2" xfId="15" applyFont="true" applyBorder="true" applyAlignment="true" applyProtection="true">
      <alignment horizontal="general" vertical="bottom" textRotation="0" wrapText="false" indent="0" shrinkToFit="false"/>
      <protection locked="true" hidden="false"/>
    </xf>
    <xf numFmtId="172" fontId="19" fillId="3" borderId="2" xfId="21" applyFont="true" applyBorder="true" applyAlignment="true" applyProtection="true">
      <alignment horizontal="general" vertical="bottom" textRotation="0" wrapText="false" indent="0" shrinkToFit="false"/>
      <protection locked="true" hidden="false"/>
    </xf>
    <xf numFmtId="164" fontId="19" fillId="3" borderId="0" xfId="24" applyFont="true" applyBorder="false" applyAlignment="false" applyProtection="false">
      <alignment horizontal="general" vertical="bottom" textRotation="0" wrapText="false" indent="0" shrinkToFit="false"/>
      <protection locked="true" hidden="false"/>
    </xf>
    <xf numFmtId="172" fontId="19" fillId="3" borderId="2" xfId="21" applyFont="true" applyBorder="true" applyAlignment="true" applyProtection="true">
      <alignment horizontal="right" vertical="bottom" textRotation="0" wrapText="false" indent="0" shrinkToFit="false"/>
      <protection locked="true" hidden="false"/>
    </xf>
    <xf numFmtId="172" fontId="19" fillId="3" borderId="6" xfId="21" applyFont="true" applyBorder="true" applyAlignment="true" applyProtection="true">
      <alignment horizontal="right" vertical="bottom" textRotation="0" wrapText="false" indent="0" shrinkToFit="false"/>
      <protection locked="true" hidden="false"/>
    </xf>
    <xf numFmtId="173" fontId="19" fillId="3" borderId="5" xfId="0" applyFont="true" applyBorder="true" applyAlignment="false" applyProtection="false">
      <alignment horizontal="general" vertical="bottom" textRotation="0" wrapText="false" indent="0" shrinkToFit="false"/>
      <protection locked="true" hidden="false"/>
    </xf>
    <xf numFmtId="164" fontId="19" fillId="3" borderId="0" xfId="24" applyFont="true" applyBorder="false" applyAlignment="true" applyProtection="false">
      <alignment horizontal="left" vertical="bottom" textRotation="0" wrapText="false" indent="1" shrinkToFit="false"/>
      <protection locked="true" hidden="false"/>
    </xf>
    <xf numFmtId="172" fontId="19" fillId="3" borderId="5" xfId="21" applyFont="true" applyBorder="true" applyAlignment="true" applyProtection="true">
      <alignment horizontal="general" vertical="bottom" textRotation="0" wrapText="false" indent="0" shrinkToFit="false"/>
      <protection locked="true" hidden="false"/>
    </xf>
    <xf numFmtId="171" fontId="17" fillId="3" borderId="0" xfId="0" applyFont="true" applyBorder="false" applyAlignment="false" applyProtection="false">
      <alignment horizontal="general" vertical="bottom" textRotation="0" wrapText="false" indent="0" shrinkToFit="false"/>
      <protection locked="true" hidden="false"/>
    </xf>
    <xf numFmtId="170" fontId="19" fillId="3" borderId="0" xfId="21" applyFont="true" applyBorder="true" applyAlignment="true" applyProtection="true">
      <alignment horizontal="general" vertical="bottom" textRotation="0" wrapText="false" indent="0" shrinkToFit="false"/>
      <protection locked="true" hidden="false"/>
    </xf>
    <xf numFmtId="172" fontId="19" fillId="3" borderId="7" xfId="22" applyFont="true" applyBorder="true" applyAlignment="true" applyProtection="true">
      <alignment horizontal="general" vertical="bottom" textRotation="0" wrapText="false" indent="0" shrinkToFit="false"/>
      <protection locked="true" hidden="false"/>
    </xf>
    <xf numFmtId="166" fontId="17" fillId="3" borderId="9" xfId="15" applyFont="true" applyBorder="true" applyAlignment="true" applyProtection="true">
      <alignment horizontal="general" vertical="bottom" textRotation="0" wrapText="false" indent="0" shrinkToFit="false"/>
      <protection locked="true" hidden="false"/>
    </xf>
    <xf numFmtId="172" fontId="19" fillId="3" borderId="0" xfId="21" applyFont="true" applyBorder="true" applyAlignment="true" applyProtection="true">
      <alignment horizontal="general" vertical="bottom" textRotation="0" wrapText="false" indent="0" shrinkToFit="false"/>
      <protection locked="true" hidden="false"/>
    </xf>
    <xf numFmtId="166" fontId="17" fillId="3" borderId="7" xfId="15" applyFont="true" applyBorder="true" applyAlignment="true" applyProtection="true">
      <alignment horizontal="general" vertical="bottom" textRotation="0" wrapText="false" indent="0" shrinkToFit="false"/>
      <protection locked="true" hidden="false"/>
    </xf>
    <xf numFmtId="167" fontId="19" fillId="3" borderId="9" xfId="22" applyFont="true" applyBorder="true" applyAlignment="true" applyProtection="true">
      <alignment horizontal="general" vertical="bottom" textRotation="0" wrapText="false" indent="0" shrinkToFit="false"/>
      <protection locked="true" hidden="false"/>
    </xf>
    <xf numFmtId="167" fontId="17" fillId="3" borderId="6" xfId="15" applyFont="true" applyBorder="true" applyAlignment="true" applyProtection="true">
      <alignment horizontal="general" vertical="bottom" textRotation="0" wrapText="false" indent="0" shrinkToFit="false"/>
      <protection locked="true" hidden="false"/>
    </xf>
    <xf numFmtId="167" fontId="17" fillId="3" borderId="14" xfId="0" applyFont="true" applyBorder="true" applyAlignment="false" applyProtection="false">
      <alignment horizontal="general" vertical="bottom" textRotation="0" wrapText="false" indent="0" shrinkToFit="false"/>
      <protection locked="true" hidden="false"/>
    </xf>
    <xf numFmtId="172" fontId="17" fillId="3" borderId="6" xfId="0" applyFont="true" applyBorder="true" applyAlignment="false" applyProtection="false">
      <alignment horizontal="general" vertical="bottom" textRotation="0" wrapText="false" indent="0" shrinkToFit="false"/>
      <protection locked="true" hidden="false"/>
    </xf>
    <xf numFmtId="172" fontId="19" fillId="3" borderId="5" xfId="24" applyFont="true" applyBorder="true" applyAlignment="false" applyProtection="false">
      <alignment horizontal="general" vertical="bottom" textRotation="0" wrapText="false" indent="0" shrinkToFit="false"/>
      <protection locked="true" hidden="false"/>
    </xf>
    <xf numFmtId="172" fontId="19" fillId="3" borderId="5" xfId="0" applyFont="true" applyBorder="true" applyAlignment="false" applyProtection="false">
      <alignment horizontal="general" vertical="bottom" textRotation="0" wrapText="false" indent="0" shrinkToFit="false"/>
      <protection locked="true" hidden="false"/>
    </xf>
    <xf numFmtId="174" fontId="19" fillId="3" borderId="0" xfId="0" applyFont="true" applyBorder="false" applyAlignment="false" applyProtection="false">
      <alignment horizontal="general" vertical="bottom" textRotation="0" wrapText="false" indent="0" shrinkToFit="false"/>
      <protection locked="true" hidden="false"/>
    </xf>
    <xf numFmtId="174" fontId="19" fillId="3" borderId="0" xfId="0" applyFont="true" applyBorder="false" applyAlignment="true" applyProtection="false">
      <alignment horizontal="center" vertical="bottom" textRotation="0" wrapText="false" indent="0" shrinkToFit="false"/>
      <protection locked="true" hidden="false"/>
    </xf>
    <xf numFmtId="170" fontId="19" fillId="3" borderId="17" xfId="21" applyFont="true" applyBorder="true" applyAlignment="true" applyProtection="true">
      <alignment horizontal="general" vertical="bottom" textRotation="0" wrapText="false" indent="0" shrinkToFit="false"/>
      <protection locked="true" hidden="false"/>
    </xf>
    <xf numFmtId="170" fontId="19" fillId="3" borderId="5" xfId="21" applyFont="true" applyBorder="true" applyAlignment="true" applyProtection="true">
      <alignment horizontal="general" vertical="bottom" textRotation="0" wrapText="false" indent="0" shrinkToFit="false"/>
      <protection locked="true" hidden="false"/>
    </xf>
    <xf numFmtId="170" fontId="19" fillId="3" borderId="18" xfId="21" applyFont="true" applyBorder="true" applyAlignment="true" applyProtection="true">
      <alignment horizontal="general" vertical="bottom" textRotation="0" wrapText="false" indent="0" shrinkToFit="false"/>
      <protection locked="true" hidden="false"/>
    </xf>
    <xf numFmtId="164" fontId="19" fillId="3" borderId="0" xfId="24" applyFont="true" applyBorder="false" applyAlignment="true" applyProtection="false">
      <alignment horizontal="general" vertical="bottom"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7" fontId="18" fillId="3" borderId="7" xfId="15" applyFont="true" applyBorder="true" applyAlignment="true" applyProtection="true">
      <alignment horizontal="general" vertical="bottom" textRotation="0" wrapText="false" indent="0" shrinkToFit="false"/>
      <protection locked="true" hidden="false"/>
    </xf>
    <xf numFmtId="167" fontId="19" fillId="3" borderId="7" xfId="0" applyFont="true" applyBorder="true" applyAlignment="false" applyProtection="false">
      <alignment horizontal="general" vertical="bottom" textRotation="0" wrapText="false" indent="0" shrinkToFit="false"/>
      <protection locked="true" hidden="false"/>
    </xf>
    <xf numFmtId="174" fontId="19" fillId="3" borderId="7" xfId="0" applyFont="true" applyBorder="true" applyAlignment="false" applyProtection="false">
      <alignment horizontal="general" vertical="bottom" textRotation="0" wrapText="false" indent="0" shrinkToFit="false"/>
      <protection locked="true" hidden="false"/>
    </xf>
    <xf numFmtId="167" fontId="19" fillId="3" borderId="0" xfId="0" applyFont="true" applyBorder="false" applyAlignment="false" applyProtection="false">
      <alignment horizontal="general" vertical="bottom" textRotation="0" wrapText="false" indent="0" shrinkToFit="false"/>
      <protection locked="true" hidden="false"/>
    </xf>
    <xf numFmtId="164" fontId="17" fillId="3" borderId="1" xfId="0" applyFont="true" applyBorder="true" applyAlignment="false" applyProtection="false">
      <alignment horizontal="general" vertical="bottom" textRotation="0" wrapText="false" indent="0" shrinkToFit="false"/>
      <protection locked="true" hidden="false"/>
    </xf>
    <xf numFmtId="164" fontId="17" fillId="3" borderId="2" xfId="0" applyFont="true" applyBorder="true" applyAlignment="false" applyProtection="false">
      <alignment horizontal="general"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74" fontId="19" fillId="3" borderId="1" xfId="0" applyFont="true" applyBorder="true" applyAlignment="false" applyProtection="false">
      <alignment horizontal="general" vertical="bottom" textRotation="0" wrapText="false" indent="0" shrinkToFit="false"/>
      <protection locked="true" hidden="false"/>
    </xf>
    <xf numFmtId="174" fontId="19" fillId="3" borderId="4" xfId="0" applyFont="true" applyBorder="true" applyAlignment="false" applyProtection="false">
      <alignment horizontal="general" vertical="bottom" textRotation="0" wrapText="false" indent="0" shrinkToFit="false"/>
      <protection locked="true" hidden="false"/>
    </xf>
    <xf numFmtId="167" fontId="19" fillId="3" borderId="0" xfId="15" applyFont="true" applyBorder="true" applyAlignment="true" applyProtection="true">
      <alignment horizontal="general" vertical="bottom" textRotation="0" wrapText="false" indent="0" shrinkToFit="false"/>
      <protection locked="true" hidden="false"/>
    </xf>
    <xf numFmtId="164" fontId="17" fillId="3" borderId="4" xfId="0" applyFont="true" applyBorder="true" applyAlignment="false" applyProtection="false">
      <alignment horizontal="general" vertical="bottom" textRotation="0" wrapText="false" indent="0" shrinkToFit="false"/>
      <protection locked="true" hidden="false"/>
    </xf>
    <xf numFmtId="167" fontId="17" fillId="3" borderId="0" xfId="15" applyFont="true" applyBorder="true" applyAlignment="true" applyProtection="true">
      <alignment horizontal="general" vertical="bottom" textRotation="0" wrapText="false" indent="0" shrinkToFit="false"/>
      <protection locked="true" hidden="false"/>
    </xf>
    <xf numFmtId="175" fontId="19" fillId="3" borderId="4" xfId="0" applyFont="true" applyBorder="true" applyAlignment="false" applyProtection="false">
      <alignment horizontal="general" vertical="bottom" textRotation="0" wrapText="false" indent="0" shrinkToFit="false"/>
      <protection locked="true" hidden="false"/>
    </xf>
    <xf numFmtId="175" fontId="19" fillId="3" borderId="0" xfId="0" applyFont="true" applyBorder="false" applyAlignment="false" applyProtection="false">
      <alignment horizontal="general" vertical="bottom" textRotation="0" wrapText="false" indent="0" shrinkToFit="false"/>
      <protection locked="true" hidden="false"/>
    </xf>
    <xf numFmtId="164" fontId="17" fillId="3" borderId="8" xfId="0" applyFont="true" applyBorder="true" applyAlignment="false" applyProtection="false">
      <alignment horizontal="general" vertical="bottom" textRotation="0" wrapText="false" indent="0" shrinkToFit="false"/>
      <protection locked="true" hidden="false"/>
    </xf>
    <xf numFmtId="167" fontId="17" fillId="0" borderId="5" xfId="15" applyFont="true" applyBorder="true" applyAlignment="true" applyProtection="true">
      <alignment horizontal="general" vertical="bottom" textRotation="0" wrapText="false" indent="0" shrinkToFit="false"/>
      <protection locked="true" hidden="false"/>
    </xf>
    <xf numFmtId="167" fontId="24" fillId="3" borderId="0" xfId="15" applyFont="true" applyBorder="true" applyAlignment="true" applyProtection="true">
      <alignment horizontal="general" vertical="bottom" textRotation="0" wrapText="false" indent="0" shrinkToFit="false"/>
      <protection locked="true" hidden="false"/>
    </xf>
    <xf numFmtId="174" fontId="19" fillId="3" borderId="13" xfId="0" applyFont="true" applyBorder="true" applyAlignment="false" applyProtection="false">
      <alignment horizontal="general" vertical="bottom" textRotation="0" wrapText="false" indent="0" shrinkToFit="false"/>
      <protection locked="true" hidden="false"/>
    </xf>
    <xf numFmtId="175" fontId="19" fillId="3" borderId="2" xfId="0" applyFont="true" applyBorder="true" applyAlignment="false" applyProtection="false">
      <alignment horizontal="general" vertical="bottom" textRotation="0" wrapText="false" indent="0" shrinkToFit="false"/>
      <protection locked="true" hidden="false"/>
    </xf>
    <xf numFmtId="175" fontId="19" fillId="3" borderId="7" xfId="0" applyFont="true" applyBorder="true" applyAlignment="false" applyProtection="false">
      <alignment horizontal="general" vertical="bottom" textRotation="0" wrapText="false" indent="0" shrinkToFit="false"/>
      <protection locked="true" hidden="false"/>
    </xf>
    <xf numFmtId="174" fontId="19" fillId="3" borderId="6" xfId="0" applyFont="true" applyBorder="true" applyAlignment="false" applyProtection="false">
      <alignment horizontal="general" vertical="bottom" textRotation="0" wrapText="false" indent="0" shrinkToFit="false"/>
      <protection locked="true" hidden="false"/>
    </xf>
    <xf numFmtId="167" fontId="17" fillId="3" borderId="6" xfId="0" applyFont="true" applyBorder="true" applyAlignment="false" applyProtection="false">
      <alignment horizontal="general" vertical="bottom" textRotation="0" wrapText="false" indent="0" shrinkToFit="false"/>
      <protection locked="true" hidden="false"/>
    </xf>
    <xf numFmtId="167" fontId="0" fillId="3" borderId="0" xfId="0" applyFont="false" applyBorder="false" applyAlignment="false" applyProtection="false">
      <alignment horizontal="general" vertical="bottom" textRotation="0" wrapText="false" indent="0" shrinkToFit="false"/>
      <protection locked="true" hidden="false"/>
    </xf>
    <xf numFmtId="167" fontId="17" fillId="3" borderId="7" xfId="0" applyFont="true" applyBorder="true" applyAlignment="false" applyProtection="false">
      <alignment horizontal="general" vertical="bottom" textRotation="0" wrapText="false" indent="0" shrinkToFit="false"/>
      <protection locked="true" hidden="false"/>
    </xf>
    <xf numFmtId="167" fontId="17" fillId="3" borderId="5"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7" fontId="0" fillId="0" borderId="19" xfId="15" applyFont="true" applyBorder="true" applyAlignment="true" applyProtection="true">
      <alignment horizontal="general" vertical="bottom" textRotation="0" wrapText="false" indent="0" shrinkToFit="false"/>
      <protection locked="true" hidden="false"/>
    </xf>
    <xf numFmtId="167" fontId="0" fillId="0" borderId="20" xfId="15" applyFont="true" applyBorder="true" applyAlignment="true" applyProtection="true">
      <alignment horizontal="general" vertical="bottom" textRotation="0" wrapText="false" indent="0" shrinkToFit="false"/>
      <protection locked="true" hidden="false"/>
    </xf>
    <xf numFmtId="167" fontId="0" fillId="0" borderId="21" xfId="15" applyFont="true" applyBorder="true" applyAlignment="true" applyProtection="true">
      <alignment horizontal="general" vertical="bottom" textRotation="0" wrapText="false" indent="0" shrinkToFit="false"/>
      <protection locked="true" hidden="false"/>
    </xf>
    <xf numFmtId="167" fontId="0" fillId="0" borderId="17" xfId="15" applyFont="true" applyBorder="true" applyAlignment="true" applyProtection="true">
      <alignment horizontal="general" vertical="bottom" textRotation="0" wrapText="false" indent="0" shrinkToFit="false"/>
      <protection locked="true" hidden="false"/>
    </xf>
    <xf numFmtId="164" fontId="9"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7" fontId="0" fillId="4" borderId="5" xfId="15" applyFont="tru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7" fontId="11" fillId="0" borderId="5" xfId="15"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7" fontId="0" fillId="3" borderId="2" xfId="15" applyFont="true" applyBorder="true" applyAlignment="true" applyProtection="true">
      <alignment horizontal="general" vertical="bottom" textRotation="0" wrapText="false" indent="0" shrinkToFit="false"/>
      <protection locked="true" hidden="false"/>
    </xf>
    <xf numFmtId="167" fontId="0" fillId="3" borderId="7" xfId="15" applyFont="true" applyBorder="true" applyAlignment="true" applyProtection="true">
      <alignment horizontal="general" vertical="bottom" textRotation="0" wrapText="false" indent="0" shrinkToFit="false"/>
      <protection locked="true" hidden="false"/>
    </xf>
    <xf numFmtId="167" fontId="0" fillId="3" borderId="5" xfId="15" applyFont="true" applyBorder="true" applyAlignment="true" applyProtection="true">
      <alignment horizontal="general" vertical="bottom" textRotation="0" wrapText="false" indent="0" shrinkToFit="false"/>
      <protection locked="true" hidden="false"/>
    </xf>
    <xf numFmtId="167" fontId="0" fillId="2" borderId="21" xfId="15" applyFont="true" applyBorder="true" applyAlignment="true" applyProtection="true">
      <alignment horizontal="general" vertical="bottom" textRotation="0" wrapText="false" indent="0" shrinkToFit="false"/>
      <protection locked="true" hidden="false"/>
    </xf>
    <xf numFmtId="167" fontId="0" fillId="2" borderId="2" xfId="15" applyFont="true" applyBorder="true" applyAlignment="true" applyProtection="true">
      <alignment horizontal="general" vertical="bottom" textRotation="0" wrapText="false" indent="0" shrinkToFit="false"/>
      <protection locked="true" hidden="false"/>
    </xf>
    <xf numFmtId="167" fontId="0" fillId="3" borderId="6" xfId="15" applyFont="true" applyBorder="true" applyAlignment="true" applyProtection="true">
      <alignment horizontal="general" vertical="bottom" textRotation="0" wrapText="false" indent="0" shrinkToFit="false"/>
      <protection locked="true" hidden="false"/>
    </xf>
    <xf numFmtId="167" fontId="0" fillId="3" borderId="17" xfId="15" applyFont="true" applyBorder="true" applyAlignment="true" applyProtection="true">
      <alignment horizontal="general" vertical="bottom" textRotation="0" wrapText="false" indent="0" shrinkToFit="false"/>
      <protection locked="true" hidden="false"/>
    </xf>
    <xf numFmtId="167" fontId="0" fillId="2" borderId="20" xfId="15" applyFont="true" applyBorder="true" applyAlignment="true" applyProtection="true">
      <alignment horizontal="general" vertical="bottom" textRotation="0" wrapText="false" indent="0" shrinkToFit="false"/>
      <protection locked="true" hidden="false"/>
    </xf>
    <xf numFmtId="167" fontId="0" fillId="0" borderId="22" xfId="15" applyFont="true" applyBorder="true" applyAlignment="true" applyProtection="true">
      <alignment horizontal="general" vertical="bottom" textRotation="0" wrapText="false" indent="0" shrinkToFit="false"/>
      <protection locked="true" hidden="false"/>
    </xf>
    <xf numFmtId="167" fontId="0" fillId="2" borderId="22" xfId="15" applyFont="true" applyBorder="true" applyAlignment="true" applyProtection="true">
      <alignment horizontal="general" vertical="bottom" textRotation="0" wrapText="false" indent="0" shrinkToFit="false"/>
      <protection locked="true" hidden="false"/>
    </xf>
    <xf numFmtId="164" fontId="15" fillId="0" borderId="5" xfId="0" applyFont="true" applyBorder="true" applyAlignment="true" applyProtection="false">
      <alignment horizontal="left" vertical="bottom" textRotation="0" wrapText="tru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7" fontId="0" fillId="0" borderId="20" xfId="15" applyFont="true" applyBorder="true" applyAlignment="true" applyProtection="tru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7" fontId="15" fillId="0" borderId="3" xfId="15" applyFont="tru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center" textRotation="0" wrapText="false" indent="0" shrinkToFit="false"/>
      <protection locked="true" hidden="false"/>
    </xf>
    <xf numFmtId="164" fontId="0" fillId="0" borderId="19" xfId="0" applyFont="fals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26"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7" fontId="12" fillId="0" borderId="2" xfId="0" applyFont="true" applyBorder="true" applyAlignment="false" applyProtection="false">
      <alignment horizontal="general" vertical="bottom" textRotation="0" wrapText="false" indent="0" shrinkToFit="false"/>
      <protection locked="true" hidden="false"/>
    </xf>
    <xf numFmtId="164" fontId="25" fillId="0" borderId="4"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true" applyProtection="false">
      <alignment horizontal="left" vertical="bottom" textRotation="0" wrapText="true" indent="0" shrinkToFit="false"/>
      <protection locked="true" hidden="false"/>
    </xf>
    <xf numFmtId="164" fontId="0" fillId="0" borderId="22" xfId="0" applyFont="false" applyBorder="true" applyAlignment="true" applyProtection="false">
      <alignment horizontal="left" vertical="bottom" textRotation="0" wrapText="tru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7" fontId="0" fillId="0" borderId="7" xfId="0" applyFont="false" applyBorder="true" applyAlignment="false" applyProtection="false">
      <alignment horizontal="general" vertical="bottom" textRotation="0" wrapText="false" indent="0" shrinkToFit="false"/>
      <protection locked="true" hidden="false"/>
    </xf>
    <xf numFmtId="167" fontId="0" fillId="0" borderId="13" xfId="15" applyFont="true" applyBorder="true" applyAlignment="true" applyProtection="tru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3" xfId="15" applyFont="true" applyBorder="true" applyAlignment="true" applyProtection="true">
      <alignment horizontal="center" vertical="bottom" textRotation="0" wrapText="fals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4" fontId="9" fillId="0" borderId="2" xfId="0" applyFont="true" applyBorder="true" applyAlignment="true" applyProtection="false">
      <alignment horizontal="center" vertical="bottom" textRotation="0" wrapText="false" indent="0" shrinkToFit="false"/>
      <protection locked="true" hidden="false"/>
    </xf>
    <xf numFmtId="164" fontId="8" fillId="0" borderId="14"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2" borderId="6" xfId="0" applyFont="tru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0" fillId="2" borderId="16" xfId="0" applyFont="true" applyBorder="true" applyAlignment="true" applyProtection="false">
      <alignment horizontal="left" vertical="center" textRotation="0" wrapText="true" indent="0" shrinkToFit="false"/>
      <protection locked="true" hidden="false"/>
    </xf>
    <xf numFmtId="167" fontId="0" fillId="2" borderId="7" xfId="15" applyFont="true" applyBorder="true" applyAlignment="true" applyProtection="true">
      <alignment horizontal="general" vertical="center" textRotation="0" wrapText="false" indent="0" shrinkToFit="false"/>
      <protection locked="true" hidden="false"/>
    </xf>
    <xf numFmtId="164" fontId="0" fillId="2" borderId="6"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center"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7" fontId="0" fillId="0" borderId="6" xfId="15" applyFont="tru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12" xfId="0" applyFont="false" applyBorder="true" applyAlignment="true" applyProtection="false">
      <alignment horizontal="center" vertical="bottom" textRotation="0" wrapText="false" indent="0" shrinkToFit="false"/>
      <protection locked="true" hidden="false"/>
    </xf>
    <xf numFmtId="167" fontId="0" fillId="0" borderId="5" xfId="15" applyFont="true" applyBorder="true" applyAlignment="true" applyProtection="true">
      <alignment horizontal="center" vertical="bottom" textRotation="0" wrapText="true" indent="0" shrinkToFit="false"/>
      <protection locked="true" hidden="false"/>
    </xf>
    <xf numFmtId="164" fontId="0" fillId="0" borderId="5" xfId="0" applyFont="false" applyBorder="true" applyAlignment="true" applyProtection="false">
      <alignment horizontal="general" vertical="bottom" textRotation="0" wrapText="true" indent="0" shrinkToFit="false"/>
      <protection locked="true" hidden="false"/>
    </xf>
    <xf numFmtId="167" fontId="0" fillId="0" borderId="5" xfId="0" applyFont="false" applyBorder="true" applyAlignment="true" applyProtection="false">
      <alignment horizontal="center" vertical="bottom" textRotation="0" wrapText="true" indent="0" shrinkToFit="false"/>
      <protection locked="true" hidden="false"/>
    </xf>
    <xf numFmtId="164" fontId="0" fillId="0" borderId="5" xfId="0" applyFont="false" applyBorder="true" applyAlignment="true" applyProtection="false">
      <alignment horizontal="center" vertical="bottom" textRotation="0" wrapText="true" indent="0" shrinkToFit="false"/>
      <protection locked="true" hidden="false"/>
    </xf>
    <xf numFmtId="176" fontId="0" fillId="0" borderId="0" xfId="19" applyFont="true" applyBorder="true" applyAlignment="true" applyProtection="tru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77" fontId="0" fillId="0" borderId="6" xfId="15" applyFont="true" applyBorder="true" applyAlignment="true" applyProtection="true">
      <alignment horizontal="general" vertical="bottom" textRotation="0" wrapText="false" indent="0" shrinkToFit="false"/>
      <protection locked="true" hidden="false"/>
    </xf>
    <xf numFmtId="178" fontId="0" fillId="0" borderId="6"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Millares 10" xfId="22"/>
    <cellStyle name="Millares 11" xfId="23"/>
    <cellStyle name="Normal 2 10" xfId="24"/>
    <cellStyle name="Normal 4" xfId="2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9.2109375" defaultRowHeight="15" zeroHeight="false" outlineLevelRow="0" outlineLevelCol="0"/>
  <cols>
    <col collapsed="false" customWidth="true" hidden="false" outlineLevel="0" max="2" min="2" style="0" width="2.57"/>
    <col collapsed="false" customWidth="true" hidden="false" outlineLevel="0" max="3" min="3" style="0" width="59"/>
  </cols>
  <sheetData>
    <row r="3" customFormat="false" ht="15" hidden="false" customHeight="false" outlineLevel="0" collapsed="false">
      <c r="B3" s="0" t="s">
        <v>0</v>
      </c>
      <c r="C3" s="1" t="s">
        <v>1</v>
      </c>
    </row>
    <row r="4" customFormat="false" ht="15" hidden="false" customHeight="false" outlineLevel="0" collapsed="false">
      <c r="B4" s="0" t="s">
        <v>2</v>
      </c>
      <c r="C4" s="1" t="s">
        <v>3</v>
      </c>
    </row>
    <row r="5" customFormat="false" ht="15" hidden="false" customHeight="false" outlineLevel="0" collapsed="false">
      <c r="B5" s="0" t="s">
        <v>4</v>
      </c>
      <c r="C5" s="1" t="s">
        <v>5</v>
      </c>
    </row>
    <row r="6" customFormat="false" ht="15" hidden="false" customHeight="false" outlineLevel="0" collapsed="false">
      <c r="B6" s="0" t="s">
        <v>6</v>
      </c>
      <c r="C6" s="1" t="s">
        <v>7</v>
      </c>
    </row>
    <row r="7" customFormat="false" ht="15" hidden="false" customHeight="false" outlineLevel="0" collapsed="false">
      <c r="B7" s="0" t="s">
        <v>8</v>
      </c>
      <c r="C7" s="1" t="s">
        <v>9</v>
      </c>
    </row>
    <row r="8" customFormat="false" ht="15" hidden="false" customHeight="false" outlineLevel="0" collapsed="false">
      <c r="B8" s="0" t="s">
        <v>10</v>
      </c>
      <c r="C8" s="1" t="s">
        <v>11</v>
      </c>
    </row>
  </sheetData>
  <hyperlinks>
    <hyperlink ref="C3" location="'BG '!A1" display="ESTADOS DE SITUACION FINANCIERA COMBINADOS"/>
    <hyperlink ref="C4" location="ER!A1" display="ESTADOS DE RESULTADOS COMBINADOS"/>
    <hyperlink ref="C5" location="FE!A1" display="FLUJOS DE EFECTIVO COMBINADOS"/>
    <hyperlink ref="C6" location="PAT!A1" display="MOVIMIENTO DEL PATRIMONIO DE ACCIONISTAS COMIBINADOS"/>
    <hyperlink ref="C7" location="AD!A1" display="ASIENTOS CONTABLES DE COMBINACION"/>
    <hyperlink ref="C8" location="Ratios!A1" display="RATIOS FINANCIERO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O3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20" activeCellId="0" sqref="D20"/>
    </sheetView>
  </sheetViews>
  <sheetFormatPr defaultColWidth="11.48828125" defaultRowHeight="15" zeroHeight="false" outlineLevelRow="0" outlineLevelCol="0"/>
  <cols>
    <col collapsed="false" customWidth="true" hidden="false" outlineLevel="0" max="3" min="3" style="0" width="11.57"/>
    <col collapsed="false" customWidth="true" hidden="false" outlineLevel="0" max="7" min="7" style="0" width="12.71"/>
    <col collapsed="false" customWidth="true" hidden="false" outlineLevel="0" max="8" min="8" style="0" width="12.57"/>
    <col collapsed="false" customWidth="true" hidden="false" outlineLevel="0" max="9" min="9" style="0" width="12.71"/>
    <col collapsed="false" customWidth="true" hidden="false" outlineLevel="0" max="10" min="10" style="0" width="12.57"/>
  </cols>
  <sheetData>
    <row r="2" customFormat="false" ht="15" hidden="false" customHeight="false" outlineLevel="0" collapsed="false">
      <c r="B2" s="0" t="s">
        <v>424</v>
      </c>
    </row>
    <row r="4" customFormat="false" ht="15" hidden="false" customHeight="false" outlineLevel="0" collapsed="false">
      <c r="C4" s="223" t="s">
        <v>425</v>
      </c>
      <c r="D4" s="223"/>
      <c r="E4" s="223"/>
      <c r="F4" s="261" t="s">
        <v>426</v>
      </c>
      <c r="H4" s="0" t="s">
        <v>427</v>
      </c>
    </row>
    <row r="5" customFormat="false" ht="15" hidden="false" customHeight="false" outlineLevel="0" collapsed="false">
      <c r="C5" s="0" t="n">
        <v>2016</v>
      </c>
      <c r="D5" s="0" t="n">
        <v>2015</v>
      </c>
      <c r="E5" s="0" t="n">
        <v>2014</v>
      </c>
      <c r="F5" s="261" t="n">
        <v>0.3333</v>
      </c>
      <c r="G5" s="0" t="s">
        <v>428</v>
      </c>
      <c r="H5" s="0" t="s">
        <v>429</v>
      </c>
      <c r="I5" s="0" t="s">
        <v>430</v>
      </c>
      <c r="J5" s="261" t="s">
        <v>365</v>
      </c>
    </row>
    <row r="6" customFormat="false" ht="15" hidden="false" customHeight="false" outlineLevel="0" collapsed="false">
      <c r="B6" s="0" t="s">
        <v>431</v>
      </c>
      <c r="C6" s="2"/>
      <c r="D6" s="2"/>
      <c r="E6" s="2"/>
      <c r="G6" s="0" t="n">
        <f aca="false">+O21</f>
        <v>0</v>
      </c>
    </row>
    <row r="7" customFormat="false" ht="15" hidden="false" customHeight="false" outlineLevel="0" collapsed="false">
      <c r="B7" s="0" t="s">
        <v>432</v>
      </c>
      <c r="C7" s="2"/>
      <c r="D7" s="2"/>
      <c r="E7" s="2"/>
      <c r="G7" s="0" t="n">
        <f aca="false">+O22</f>
        <v>0</v>
      </c>
    </row>
    <row r="8" customFormat="false" ht="15" hidden="false" customHeight="false" outlineLevel="0" collapsed="false">
      <c r="B8" s="0" t="s">
        <v>433</v>
      </c>
      <c r="C8" s="2"/>
      <c r="D8" s="2"/>
      <c r="E8" s="2"/>
      <c r="G8" s="0" t="n">
        <f aca="false">+O23</f>
        <v>0</v>
      </c>
    </row>
    <row r="9" customFormat="false" ht="15" hidden="false" customHeight="false" outlineLevel="0" collapsed="false">
      <c r="B9" s="0" t="s">
        <v>434</v>
      </c>
      <c r="C9" s="2"/>
      <c r="D9" s="2"/>
      <c r="E9" s="2"/>
      <c r="G9" s="0" t="n">
        <f aca="false">+O24</f>
        <v>0</v>
      </c>
    </row>
    <row r="10" customFormat="false" ht="15" hidden="false" customHeight="false" outlineLevel="0" collapsed="false">
      <c r="B10" s="0" t="s">
        <v>435</v>
      </c>
      <c r="C10" s="2"/>
      <c r="D10" s="2"/>
      <c r="E10" s="2"/>
      <c r="G10" s="0" t="n">
        <f aca="false">+O25</f>
        <v>0</v>
      </c>
    </row>
    <row r="11" customFormat="false" ht="15" hidden="false" customHeight="false" outlineLevel="0" collapsed="false">
      <c r="B11" s="0" t="s">
        <v>436</v>
      </c>
      <c r="C11" s="2"/>
      <c r="D11" s="2"/>
      <c r="E11" s="2"/>
      <c r="G11" s="0" t="n">
        <f aca="false">+O26</f>
        <v>0</v>
      </c>
    </row>
    <row r="12" customFormat="false" ht="15" hidden="false" customHeight="false" outlineLevel="0" collapsed="false">
      <c r="B12" s="0" t="s">
        <v>437</v>
      </c>
      <c r="C12" s="2"/>
      <c r="D12" s="2"/>
      <c r="E12" s="2"/>
      <c r="G12" s="0" t="n">
        <f aca="false">+O27</f>
        <v>0</v>
      </c>
    </row>
    <row r="13" customFormat="false" ht="15" hidden="false" customHeight="false" outlineLevel="0" collapsed="false">
      <c r="B13" s="0" t="s">
        <v>438</v>
      </c>
      <c r="C13" s="2"/>
      <c r="D13" s="2"/>
      <c r="E13" s="2"/>
      <c r="G13" s="0" t="n">
        <f aca="false">+O28</f>
        <v>0</v>
      </c>
    </row>
    <row r="14" customFormat="false" ht="15" hidden="false" customHeight="false" outlineLevel="0" collapsed="false">
      <c r="B14" s="0" t="s">
        <v>439</v>
      </c>
      <c r="C14" s="2"/>
      <c r="D14" s="2"/>
      <c r="E14" s="2"/>
      <c r="G14" s="0" t="n">
        <f aca="false">+O29</f>
        <v>0</v>
      </c>
    </row>
    <row r="15" customFormat="false" ht="15" hidden="false" customHeight="false" outlineLevel="0" collapsed="false">
      <c r="B15" s="0" t="s">
        <v>440</v>
      </c>
      <c r="C15" s="2"/>
      <c r="D15" s="2"/>
      <c r="E15" s="2"/>
      <c r="G15" s="0" t="n">
        <f aca="false">+O30</f>
        <v>0</v>
      </c>
    </row>
    <row r="16" customFormat="false" ht="15" hidden="false" customHeight="false" outlineLevel="0" collapsed="false">
      <c r="B16" s="0" t="s">
        <v>441</v>
      </c>
      <c r="C16" s="2"/>
      <c r="D16" s="2"/>
      <c r="E16" s="2"/>
      <c r="G16" s="0" t="n">
        <f aca="false">+O31</f>
        <v>0</v>
      </c>
    </row>
    <row r="17" customFormat="false" ht="15" hidden="false" customHeight="false" outlineLevel="0" collapsed="false">
      <c r="B17" s="0" t="s">
        <v>442</v>
      </c>
      <c r="C17" s="2"/>
      <c r="D17" s="2"/>
      <c r="E17" s="2"/>
      <c r="G17" s="0" t="n">
        <f aca="false">+O32</f>
        <v>0</v>
      </c>
    </row>
    <row r="18" customFormat="false" ht="15" hidden="false" customHeight="false" outlineLevel="0" collapsed="false">
      <c r="B18" s="0" t="s">
        <v>319</v>
      </c>
      <c r="C18" s="2" t="n">
        <v>15846166</v>
      </c>
      <c r="D18" s="2" t="n">
        <v>5700370</v>
      </c>
      <c r="E18" s="2" t="n">
        <v>1475332</v>
      </c>
      <c r="G18" s="262" t="n">
        <f aca="false">3922517-2391661</f>
        <v>1530856</v>
      </c>
      <c r="H18" s="2" t="n">
        <f aca="false">+D18*F5</f>
        <v>1899933.321</v>
      </c>
      <c r="I18" s="2" t="n">
        <f aca="false">+E18*F5</f>
        <v>491728.1556</v>
      </c>
      <c r="J18" s="2" t="n">
        <f aca="false">SUM(G18:I18)</f>
        <v>3922517.4766</v>
      </c>
    </row>
    <row r="19" customFormat="false" ht="15" hidden="false" customHeight="false" outlineLevel="0" collapsed="false">
      <c r="G19" s="33"/>
      <c r="J19" s="2"/>
    </row>
    <row r="20" customFormat="false" ht="15" hidden="false" customHeight="false" outlineLevel="0" collapsed="false">
      <c r="C20" s="0" t="s">
        <v>431</v>
      </c>
      <c r="D20" s="0" t="s">
        <v>432</v>
      </c>
      <c r="E20" s="0" t="s">
        <v>433</v>
      </c>
      <c r="F20" s="0" t="s">
        <v>434</v>
      </c>
      <c r="G20" s="0" t="s">
        <v>435</v>
      </c>
      <c r="H20" s="0" t="s">
        <v>436</v>
      </c>
      <c r="I20" s="0" t="s">
        <v>437</v>
      </c>
      <c r="J20" s="0" t="s">
        <v>438</v>
      </c>
      <c r="K20" s="0" t="s">
        <v>439</v>
      </c>
      <c r="L20" s="0" t="s">
        <v>440</v>
      </c>
      <c r="M20" s="0" t="s">
        <v>441</v>
      </c>
      <c r="N20" s="0" t="s">
        <v>442</v>
      </c>
      <c r="O20" s="0" t="s">
        <v>319</v>
      </c>
    </row>
    <row r="21" customFormat="false" ht="15" hidden="false" customHeight="false" outlineLevel="0" collapsed="false">
      <c r="B21" s="0" t="s">
        <v>431</v>
      </c>
      <c r="C21" s="0" t="n">
        <v>0</v>
      </c>
      <c r="D21" s="0" t="n">
        <f aca="false">(+$C$6*$F$5)/12</f>
        <v>0</v>
      </c>
      <c r="E21" s="0" t="n">
        <f aca="false">(+$C$6*$F$5)/12</f>
        <v>0</v>
      </c>
      <c r="F21" s="0" t="n">
        <f aca="false">(+$C$6*$F$5)/12</f>
        <v>0</v>
      </c>
      <c r="G21" s="0" t="n">
        <f aca="false">(+$C$6*$F$5)/12</f>
        <v>0</v>
      </c>
      <c r="H21" s="0" t="n">
        <f aca="false">(+$C$6*$F$5)/12</f>
        <v>0</v>
      </c>
      <c r="I21" s="0" t="n">
        <f aca="false">(+$C$6*$F$5)/12</f>
        <v>0</v>
      </c>
      <c r="J21" s="0" t="n">
        <f aca="false">(+$C$6*$F$5)/12</f>
        <v>0</v>
      </c>
      <c r="K21" s="0" t="n">
        <f aca="false">(+$C$6*$F$5)/12</f>
        <v>0</v>
      </c>
      <c r="L21" s="0" t="n">
        <f aca="false">(+$C$6*$F$5)/12</f>
        <v>0</v>
      </c>
      <c r="M21" s="0" t="n">
        <f aca="false">(+$C$6*$F$5)/12</f>
        <v>0</v>
      </c>
      <c r="N21" s="0" t="n">
        <f aca="false">(+$C$6*$F$5)/12</f>
        <v>0</v>
      </c>
      <c r="O21" s="0" t="n">
        <f aca="false">SUM(C21:N21)</f>
        <v>0</v>
      </c>
    </row>
    <row r="22" customFormat="false" ht="15" hidden="false" customHeight="false" outlineLevel="0" collapsed="false">
      <c r="B22" s="0" t="s">
        <v>432</v>
      </c>
    </row>
    <row r="23" customFormat="false" ht="15" hidden="false" customHeight="false" outlineLevel="0" collapsed="false">
      <c r="B23" s="0" t="s">
        <v>433</v>
      </c>
    </row>
    <row r="24" customFormat="false" ht="15" hidden="false" customHeight="false" outlineLevel="0" collapsed="false">
      <c r="B24" s="0" t="s">
        <v>434</v>
      </c>
    </row>
    <row r="25" customFormat="false" ht="15" hidden="false" customHeight="false" outlineLevel="0" collapsed="false">
      <c r="B25" s="0" t="s">
        <v>435</v>
      </c>
    </row>
    <row r="26" customFormat="false" ht="15" hidden="false" customHeight="false" outlineLevel="0" collapsed="false">
      <c r="B26" s="0" t="s">
        <v>436</v>
      </c>
    </row>
    <row r="27" customFormat="false" ht="15" hidden="false" customHeight="false" outlineLevel="0" collapsed="false">
      <c r="B27" s="0" t="s">
        <v>437</v>
      </c>
    </row>
    <row r="28" customFormat="false" ht="15" hidden="false" customHeight="false" outlineLevel="0" collapsed="false">
      <c r="B28" s="0" t="s">
        <v>438</v>
      </c>
    </row>
    <row r="29" customFormat="false" ht="15" hidden="false" customHeight="false" outlineLevel="0" collapsed="false">
      <c r="B29" s="0" t="s">
        <v>439</v>
      </c>
    </row>
    <row r="30" customFormat="false" ht="15" hidden="false" customHeight="false" outlineLevel="0" collapsed="false">
      <c r="B30" s="0" t="s">
        <v>440</v>
      </c>
    </row>
    <row r="31" customFormat="false" ht="15" hidden="false" customHeight="false" outlineLevel="0" collapsed="false">
      <c r="B31" s="0" t="s">
        <v>441</v>
      </c>
    </row>
    <row r="32" customFormat="false" ht="15" hidden="false" customHeight="false" outlineLevel="0" collapsed="false">
      <c r="B32" s="0" t="s">
        <v>442</v>
      </c>
    </row>
  </sheetData>
  <mergeCells count="1">
    <mergeCell ref="C4:E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ColWidth="11.48828125" defaultRowHeight="15" zeroHeight="false" outlineLevelRow="0" outlineLevelCol="0"/>
  <cols>
    <col collapsed="false" customWidth="true" hidden="false" outlineLevel="0" max="5" min="5" style="0" width="11.57"/>
  </cols>
  <sheetData>
    <row r="3" customFormat="false" ht="15" hidden="false" customHeight="false" outlineLevel="0" collapsed="false">
      <c r="B3" s="0" t="s">
        <v>443</v>
      </c>
      <c r="E3" s="2" t="n">
        <f aca="false">+'PP&amp;E'!E18</f>
        <v>1475332</v>
      </c>
    </row>
    <row r="4" customFormat="false" ht="15" hidden="false" customHeight="false" outlineLevel="0" collapsed="false">
      <c r="B4" s="0" t="s">
        <v>444</v>
      </c>
      <c r="E4" s="2" t="n">
        <f aca="false">+'PP&amp;E'!D18</f>
        <v>5700370</v>
      </c>
    </row>
    <row r="5" customFormat="false" ht="15" hidden="false" customHeight="false" outlineLevel="0" collapsed="false">
      <c r="B5" s="0" t="s">
        <v>445</v>
      </c>
      <c r="E5" s="2" t="n">
        <f aca="false">+'PP&amp;E'!C18</f>
        <v>15846166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7E6E6"/>
    <pageSetUpPr fitToPage="false"/>
  </sheetPr>
  <dimension ref="A1:U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5" topLeftCell="D65" activePane="bottomRight" state="frozen"/>
      <selection pane="topLeft" activeCell="A1" activeCellId="0" sqref="A1"/>
      <selection pane="topRight" activeCell="D1" activeCellId="0" sqref="D1"/>
      <selection pane="bottomLeft" activeCell="A65" activeCellId="0" sqref="A65"/>
      <selection pane="bottomRight" activeCell="E79" activeCellId="0" sqref="E79"/>
    </sheetView>
  </sheetViews>
  <sheetFormatPr defaultColWidth="11.48828125" defaultRowHeight="15" zeroHeight="false" outlineLevelRow="0" outlineLevelCol="0"/>
  <cols>
    <col collapsed="false" customWidth="true" hidden="false" outlineLevel="0" max="1" min="1" style="0" width="2.85"/>
    <col collapsed="false" customWidth="true" hidden="false" outlineLevel="0" max="3" min="3" style="0" width="30.57"/>
    <col collapsed="false" customWidth="true" hidden="false" outlineLevel="0" max="4" min="4" style="0" width="2.22"/>
    <col collapsed="false" customWidth="true" hidden="false" outlineLevel="0" max="5" min="5" style="0" width="12.57"/>
    <col collapsed="false" customWidth="true" hidden="false" outlineLevel="0" max="6" min="6" style="0" width="11.86"/>
    <col collapsed="false" customWidth="true" hidden="false" outlineLevel="0" max="7" min="7" style="0" width="12.57"/>
    <col collapsed="false" customWidth="true" hidden="false" outlineLevel="0" max="8" min="8" style="0" width="14.15"/>
    <col collapsed="false" customWidth="true" hidden="false" outlineLevel="0" max="9" min="9" style="0" width="12.57"/>
    <col collapsed="false" customWidth="true" hidden="false" outlineLevel="0" max="10" min="10" style="0" width="1.42"/>
    <col collapsed="false" customWidth="true" hidden="false" outlineLevel="0" max="11" min="11" style="0" width="13.29"/>
    <col collapsed="false" customWidth="true" hidden="false" outlineLevel="0" max="12" min="12" style="0" width="12.14"/>
    <col collapsed="false" customWidth="true" hidden="false" outlineLevel="0" max="13" min="13" style="0" width="12.86"/>
    <col collapsed="false" customWidth="true" hidden="false" outlineLevel="0" max="14" min="14" style="0" width="14.01"/>
    <col collapsed="false" customWidth="true" hidden="false" outlineLevel="0" max="15" min="15" style="0" width="13.43"/>
    <col collapsed="false" customWidth="true" hidden="true" outlineLevel="0" max="16" min="16" style="0" width="2.71"/>
    <col collapsed="false" customWidth="true" hidden="true" outlineLevel="0" max="19" min="17" style="2" width="12.29"/>
    <col collapsed="false" customWidth="true" hidden="true" outlineLevel="0" max="20" min="20" style="2" width="12.71"/>
    <col collapsed="false" customWidth="true" hidden="true" outlineLevel="0" max="21" min="21" style="2" width="12.29"/>
    <col collapsed="false" customWidth="true" hidden="false" outlineLevel="0" max="22" min="22" style="0" width="2.71"/>
  </cols>
  <sheetData>
    <row r="1" customFormat="false" ht="15" hidden="false" customHeight="false" outlineLevel="0" collapsed="false">
      <c r="A1" s="3" t="s">
        <v>12</v>
      </c>
    </row>
    <row r="2" customFormat="false" ht="15" hidden="false" customHeight="false" outlineLevel="0" collapsed="false">
      <c r="A2" s="4" t="s">
        <v>1</v>
      </c>
    </row>
    <row r="3" customFormat="false" ht="15" hidden="false" customHeight="false" outlineLevel="0" collapsed="false">
      <c r="A3" s="4" t="s">
        <v>13</v>
      </c>
      <c r="E3" s="5"/>
      <c r="F3" s="6"/>
      <c r="G3" s="7"/>
      <c r="H3" s="5"/>
      <c r="I3" s="6"/>
      <c r="K3" s="5"/>
      <c r="L3" s="6"/>
      <c r="M3" s="7"/>
      <c r="N3" s="5"/>
      <c r="O3" s="6"/>
      <c r="Q3" s="5"/>
      <c r="R3" s="6"/>
      <c r="S3" s="7"/>
      <c r="T3" s="5"/>
      <c r="U3" s="6"/>
    </row>
    <row r="4" customFormat="false" ht="15" hidden="false" customHeight="false" outlineLevel="0" collapsed="false">
      <c r="A4" s="8" t="s">
        <v>14</v>
      </c>
      <c r="E4" s="9"/>
      <c r="F4" s="10"/>
      <c r="G4" s="2"/>
      <c r="H4" s="11" t="s">
        <v>15</v>
      </c>
      <c r="I4" s="12" t="n">
        <v>2020</v>
      </c>
      <c r="K4" s="9"/>
      <c r="L4" s="10"/>
      <c r="M4" s="2"/>
      <c r="N4" s="11" t="s">
        <v>15</v>
      </c>
      <c r="O4" s="12" t="n">
        <v>2019</v>
      </c>
      <c r="Q4" s="9"/>
      <c r="R4" s="10"/>
      <c r="T4" s="11" t="s">
        <v>15</v>
      </c>
      <c r="U4" s="12" t="n">
        <v>2017</v>
      </c>
    </row>
    <row r="5" customFormat="false" ht="15" hidden="false" customHeight="false" outlineLevel="0" collapsed="false">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customFormat="false" ht="13.8" hidden="false" customHeight="false" outlineLevel="0" collapsed="false">
      <c r="C6" s="0" t="s">
        <v>21</v>
      </c>
      <c r="E6" s="17"/>
      <c r="F6" s="17"/>
      <c r="G6" s="17"/>
      <c r="H6" s="17"/>
      <c r="I6" s="17"/>
      <c r="K6" s="17"/>
      <c r="L6" s="17"/>
      <c r="M6" s="17"/>
      <c r="N6" s="17"/>
      <c r="O6" s="17"/>
      <c r="Q6" s="9"/>
      <c r="R6" s="6"/>
      <c r="T6" s="9"/>
      <c r="U6" s="10"/>
    </row>
    <row r="7" customFormat="false" ht="13.8" hidden="false" customHeight="false" outlineLevel="0" collapsed="false">
      <c r="A7" s="4" t="s">
        <v>22</v>
      </c>
      <c r="E7" s="9"/>
      <c r="F7" s="18"/>
      <c r="G7" s="18"/>
      <c r="H7" s="18"/>
      <c r="I7" s="18"/>
      <c r="K7" s="9"/>
      <c r="L7" s="18"/>
      <c r="M7" s="18"/>
      <c r="N7" s="18"/>
      <c r="O7" s="18"/>
      <c r="Q7" s="9"/>
      <c r="R7" s="10"/>
      <c r="T7" s="9"/>
      <c r="U7" s="10"/>
    </row>
    <row r="8" customFormat="false" ht="13.8" hidden="false" customHeight="false" outlineLevel="0" collapsed="false">
      <c r="B8" s="0" t="s">
        <v>23</v>
      </c>
      <c r="E8" s="9" t="n">
        <v>19454167</v>
      </c>
      <c r="F8" s="9" t="n">
        <v>3657400</v>
      </c>
      <c r="G8" s="10" t="n">
        <f aca="false">+E8+F8</f>
        <v>23111567</v>
      </c>
      <c r="H8" s="18"/>
      <c r="I8" s="10" t="n">
        <f aca="false">+G8+H8</f>
        <v>23111567</v>
      </c>
      <c r="K8" s="9" t="n">
        <v>5683172</v>
      </c>
      <c r="L8" s="9" t="n">
        <v>1956404</v>
      </c>
      <c r="M8" s="10" t="n">
        <f aca="false">+K8+L8</f>
        <v>7639576</v>
      </c>
      <c r="N8" s="18"/>
      <c r="O8" s="10" t="n">
        <f aca="false">+M8+N8</f>
        <v>7639576</v>
      </c>
      <c r="Q8" s="9" t="n">
        <v>1607132</v>
      </c>
      <c r="R8" s="10" t="n">
        <v>585324</v>
      </c>
      <c r="S8" s="2" t="n">
        <f aca="false">Q8+R8</f>
        <v>2192456</v>
      </c>
      <c r="T8" s="9"/>
      <c r="U8" s="10" t="n">
        <f aca="false">+S8+T8</f>
        <v>2192456</v>
      </c>
    </row>
    <row r="9" customFormat="false" ht="13.8" hidden="false" customHeight="false" outlineLevel="0" collapsed="false">
      <c r="B9" s="0" t="s">
        <v>24</v>
      </c>
      <c r="E9" s="9" t="n">
        <v>3119911</v>
      </c>
      <c r="F9" s="9" t="n">
        <v>0</v>
      </c>
      <c r="G9" s="10" t="n">
        <f aca="false">+E9+F9</f>
        <v>3119911</v>
      </c>
      <c r="H9" s="18"/>
      <c r="I9" s="10" t="n">
        <f aca="false">+G9+H9</f>
        <v>3119911</v>
      </c>
      <c r="K9" s="9" t="n">
        <v>11919</v>
      </c>
      <c r="L9" s="9"/>
      <c r="M9" s="10" t="n">
        <f aca="false">+K9+L9</f>
        <v>11919</v>
      </c>
      <c r="N9" s="18"/>
      <c r="O9" s="10" t="n">
        <f aca="false">+M9+N9</f>
        <v>11919</v>
      </c>
      <c r="Q9" s="9" t="n">
        <v>102620</v>
      </c>
      <c r="R9" s="18"/>
      <c r="S9" s="2" t="n">
        <f aca="false">Q9+R9</f>
        <v>102620</v>
      </c>
      <c r="T9" s="9"/>
      <c r="U9" s="10" t="n">
        <f aca="false">+S9+T9</f>
        <v>102620</v>
      </c>
    </row>
    <row r="10" customFormat="false" ht="13.8" hidden="false" customHeight="false" outlineLevel="0" collapsed="false">
      <c r="B10" s="0" t="s">
        <v>25</v>
      </c>
      <c r="E10" s="9" t="n">
        <v>0</v>
      </c>
      <c r="F10" s="9" t="n">
        <v>0</v>
      </c>
      <c r="G10" s="10" t="n">
        <f aca="false">+E10+F10</f>
        <v>0</v>
      </c>
      <c r="H10" s="18"/>
      <c r="I10" s="10" t="n">
        <f aca="false">+G10+H10</f>
        <v>0</v>
      </c>
      <c r="K10" s="9" t="n">
        <v>3358789</v>
      </c>
      <c r="L10" s="9"/>
      <c r="M10" s="10" t="n">
        <f aca="false">+K10+L10</f>
        <v>3358789</v>
      </c>
      <c r="N10" s="18"/>
      <c r="O10" s="10" t="n">
        <f aca="false">+M10+N10</f>
        <v>3358789</v>
      </c>
      <c r="Q10" s="9" t="n">
        <v>2644455</v>
      </c>
      <c r="R10" s="18"/>
      <c r="S10" s="2" t="n">
        <f aca="false">Q10+R10</f>
        <v>2644455</v>
      </c>
      <c r="T10" s="9"/>
      <c r="U10" s="10" t="n">
        <f aca="false">+S10+T10</f>
        <v>2644455</v>
      </c>
    </row>
    <row r="11" customFormat="false" ht="13.8" hidden="false" customHeight="false" outlineLevel="0" collapsed="false">
      <c r="B11" s="0" t="s">
        <v>26</v>
      </c>
      <c r="E11" s="9"/>
      <c r="F11" s="9"/>
      <c r="G11" s="10"/>
      <c r="H11" s="18"/>
      <c r="I11" s="10" t="n">
        <f aca="false">+G11+H11</f>
        <v>0</v>
      </c>
      <c r="K11" s="9"/>
      <c r="L11" s="9"/>
      <c r="M11" s="10"/>
      <c r="N11" s="18"/>
      <c r="O11" s="10" t="n">
        <f aca="false">+M11+N11</f>
        <v>0</v>
      </c>
      <c r="Q11" s="9"/>
      <c r="R11" s="18"/>
      <c r="S11" s="2" t="n">
        <f aca="false">Q11+R11</f>
        <v>0</v>
      </c>
      <c r="T11" s="9"/>
      <c r="U11" s="10"/>
    </row>
    <row r="12" customFormat="false" ht="13.8" hidden="false" customHeight="false" outlineLevel="0" collapsed="false">
      <c r="B12" s="0" t="s">
        <v>27</v>
      </c>
      <c r="E12" s="9" t="n">
        <v>14149502</v>
      </c>
      <c r="F12" s="9" t="n">
        <v>7765139</v>
      </c>
      <c r="G12" s="10" t="n">
        <f aca="false">+E12+F12</f>
        <v>21914641</v>
      </c>
      <c r="H12" s="18"/>
      <c r="I12" s="10" t="n">
        <f aca="false">+G12+H12</f>
        <v>21914641</v>
      </c>
      <c r="K12" s="9" t="n">
        <v>10095277</v>
      </c>
      <c r="L12" s="9" t="n">
        <v>2517669</v>
      </c>
      <c r="M12" s="10" t="n">
        <f aca="false">+K12+L12</f>
        <v>12612946</v>
      </c>
      <c r="N12" s="18"/>
      <c r="O12" s="10" t="n">
        <f aca="false">+M12+N12</f>
        <v>12612946</v>
      </c>
      <c r="Q12" s="9" t="n">
        <v>10565005</v>
      </c>
      <c r="R12" s="10" t="n">
        <v>1247603</v>
      </c>
      <c r="S12" s="2" t="n">
        <f aca="false">Q12+R12</f>
        <v>11812608</v>
      </c>
      <c r="T12" s="9"/>
      <c r="U12" s="10" t="n">
        <f aca="false">+S12+T12</f>
        <v>11812608</v>
      </c>
    </row>
    <row r="13" customFormat="false" ht="13.8" hidden="false" customHeight="false" outlineLevel="0" collapsed="false">
      <c r="B13" s="0" t="s">
        <v>28</v>
      </c>
      <c r="E13" s="9" t="n">
        <v>37922671</v>
      </c>
      <c r="F13" s="9" t="n">
        <v>28737194</v>
      </c>
      <c r="G13" s="10" t="n">
        <f aca="false">+E13+F13</f>
        <v>66659865</v>
      </c>
      <c r="H13" s="10"/>
      <c r="I13" s="10" t="n">
        <f aca="false">+G13+H13</f>
        <v>66659865</v>
      </c>
      <c r="K13" s="9" t="n">
        <v>41013343</v>
      </c>
      <c r="L13" s="9" t="n">
        <v>19912295</v>
      </c>
      <c r="M13" s="10" t="n">
        <f aca="false">+K13+L13</f>
        <v>60925638</v>
      </c>
      <c r="N13" s="10" t="n">
        <f aca="false">-AD!J18-AD!J36</f>
        <v>-34305534</v>
      </c>
      <c r="O13" s="10" t="n">
        <f aca="false">+M13+N13</f>
        <v>26620104</v>
      </c>
      <c r="Q13" s="9" t="n">
        <v>32908556</v>
      </c>
      <c r="R13" s="10" t="n">
        <v>5055818</v>
      </c>
      <c r="S13" s="2" t="n">
        <f aca="false">Q13+R13</f>
        <v>37964374</v>
      </c>
      <c r="T13" s="9" t="n">
        <f aca="false">-AD!N18-AD!N36</f>
        <v>-10306018</v>
      </c>
      <c r="U13" s="10" t="n">
        <f aca="false">+S13+T13</f>
        <v>27658356</v>
      </c>
    </row>
    <row r="14" customFormat="false" ht="13.8" hidden="false" customHeight="false" outlineLevel="0" collapsed="false">
      <c r="B14" s="0" t="s">
        <v>29</v>
      </c>
      <c r="E14" s="9" t="n">
        <v>12206616</v>
      </c>
      <c r="F14" s="9" t="n">
        <v>224008</v>
      </c>
      <c r="G14" s="10" t="n">
        <f aca="false">+E14+F14</f>
        <v>12430624</v>
      </c>
      <c r="H14" s="18"/>
      <c r="I14" s="10" t="n">
        <f aca="false">+G14+H14</f>
        <v>12430624</v>
      </c>
      <c r="K14" s="9" t="n">
        <v>16875125</v>
      </c>
      <c r="L14" s="9" t="n">
        <v>1181923</v>
      </c>
      <c r="M14" s="10" t="n">
        <f aca="false">+K14+L14</f>
        <v>18057048</v>
      </c>
      <c r="N14" s="18"/>
      <c r="O14" s="10" t="n">
        <f aca="false">+M14+N14</f>
        <v>18057048</v>
      </c>
      <c r="Q14" s="9" t="n">
        <v>5481731</v>
      </c>
      <c r="R14" s="10" t="n">
        <v>156705</v>
      </c>
      <c r="S14" s="2" t="n">
        <f aca="false">Q14+R14</f>
        <v>5638436</v>
      </c>
      <c r="T14" s="9"/>
      <c r="U14" s="10" t="n">
        <f aca="false">+S14+T14</f>
        <v>5638436</v>
      </c>
    </row>
    <row r="15" customFormat="false" ht="13.8" hidden="false" customHeight="false" outlineLevel="0" collapsed="false">
      <c r="B15" s="0" t="s">
        <v>30</v>
      </c>
      <c r="E15" s="9" t="n">
        <v>5359704</v>
      </c>
      <c r="F15" s="9" t="n">
        <v>1698179</v>
      </c>
      <c r="G15" s="10" t="n">
        <f aca="false">+E15+F15</f>
        <v>7057883</v>
      </c>
      <c r="H15" s="18"/>
      <c r="I15" s="10" t="n">
        <f aca="false">+G15+H15</f>
        <v>7057883</v>
      </c>
      <c r="K15" s="9" t="n">
        <v>4638</v>
      </c>
      <c r="L15" s="9" t="n">
        <v>1969204</v>
      </c>
      <c r="M15" s="10" t="n">
        <f aca="false">+K15+L15</f>
        <v>1973842</v>
      </c>
      <c r="N15" s="18"/>
      <c r="O15" s="10" t="n">
        <f aca="false">+M15+N15</f>
        <v>1973842</v>
      </c>
      <c r="Q15" s="9" t="n">
        <v>480186</v>
      </c>
      <c r="R15" s="10" t="n">
        <v>1484699</v>
      </c>
      <c r="S15" s="2" t="n">
        <f aca="false">Q15+R15</f>
        <v>1964885</v>
      </c>
      <c r="T15" s="9"/>
      <c r="U15" s="10" t="n">
        <f aca="false">+S15+T15</f>
        <v>1964885</v>
      </c>
    </row>
    <row r="16" customFormat="false" ht="13.8" hidden="false" customHeight="false" outlineLevel="0" collapsed="false">
      <c r="B16" s="0" t="s">
        <v>31</v>
      </c>
      <c r="E16" s="9" t="n">
        <v>1768203</v>
      </c>
      <c r="F16" s="9" t="n">
        <v>4492933</v>
      </c>
      <c r="G16" s="10" t="n">
        <f aca="false">+E16+F16</f>
        <v>6261136</v>
      </c>
      <c r="H16" s="18"/>
      <c r="I16" s="10" t="n">
        <f aca="false">+G16+H16</f>
        <v>6261136</v>
      </c>
      <c r="K16" s="9" t="n">
        <v>747264</v>
      </c>
      <c r="L16" s="9"/>
      <c r="M16" s="10" t="n">
        <f aca="false">+K16+L16</f>
        <v>747264</v>
      </c>
      <c r="N16" s="18"/>
      <c r="O16" s="10" t="n">
        <f aca="false">+M16+N16</f>
        <v>747264</v>
      </c>
      <c r="Q16" s="9" t="n">
        <v>625964</v>
      </c>
      <c r="R16" s="18"/>
      <c r="S16" s="2" t="n">
        <f aca="false">Q16+R16</f>
        <v>625964</v>
      </c>
      <c r="T16" s="9" t="n">
        <f aca="false">-AD!P52-AD!P25</f>
        <v>0</v>
      </c>
      <c r="U16" s="10" t="n">
        <f aca="false">+S16+T16</f>
        <v>625964</v>
      </c>
    </row>
    <row r="17" customFormat="false" ht="13.8" hidden="false" customHeight="false" outlineLevel="0" collapsed="false">
      <c r="B17" s="0" t="s">
        <v>32</v>
      </c>
      <c r="E17" s="9" t="n">
        <v>28373524</v>
      </c>
      <c r="F17" s="9" t="n">
        <v>0</v>
      </c>
      <c r="G17" s="10" t="n">
        <f aca="false">+E17+F17</f>
        <v>28373524</v>
      </c>
      <c r="H17" s="18"/>
      <c r="I17" s="10" t="n">
        <f aca="false">+G17+H17</f>
        <v>28373524</v>
      </c>
      <c r="K17" s="9" t="n">
        <v>28594642</v>
      </c>
      <c r="L17" s="9"/>
      <c r="M17" s="10" t="n">
        <f aca="false">+K17+L17</f>
        <v>28594642</v>
      </c>
      <c r="N17" s="18"/>
      <c r="O17" s="10" t="n">
        <f aca="false">+M17+N17</f>
        <v>28594642</v>
      </c>
      <c r="Q17" s="9" t="n">
        <v>14883321</v>
      </c>
      <c r="R17" s="18"/>
      <c r="S17" s="2" t="n">
        <f aca="false">Q17+R17</f>
        <v>14883321</v>
      </c>
      <c r="T17" s="9"/>
      <c r="U17" s="10" t="n">
        <f aca="false">+S17+T17</f>
        <v>14883321</v>
      </c>
    </row>
    <row r="18" customFormat="false" ht="15" hidden="false" customHeight="false" outlineLevel="0" collapsed="false">
      <c r="A18" s="4" t="s">
        <v>33</v>
      </c>
      <c r="E18" s="19" t="n">
        <f aca="false">SUM(E8:E17)</f>
        <v>122354298</v>
      </c>
      <c r="F18" s="19" t="n">
        <f aca="false">SUM(F8:F17)</f>
        <v>46574853</v>
      </c>
      <c r="G18" s="19" t="n">
        <f aca="false">SUM(G8:G17)</f>
        <v>168929151</v>
      </c>
      <c r="H18" s="19" t="n">
        <f aca="false">SUM(H8:H17)</f>
        <v>0</v>
      </c>
      <c r="I18" s="19" t="n">
        <f aca="false">SUM(I8:I17)</f>
        <v>168929151</v>
      </c>
      <c r="K18" s="19" t="n">
        <f aca="false">SUM(K8:K17)</f>
        <v>106384169</v>
      </c>
      <c r="L18" s="19" t="n">
        <f aca="false">SUM(L8:L17)</f>
        <v>27537495</v>
      </c>
      <c r="M18" s="19" t="n">
        <f aca="false">SUM(M8:M17)</f>
        <v>133921664</v>
      </c>
      <c r="N18" s="19" t="n">
        <f aca="false">SUM(N8:N17)</f>
        <v>-34305534</v>
      </c>
      <c r="O18" s="19" t="n">
        <f aca="false">SUM(O8:O17)</f>
        <v>99616130</v>
      </c>
      <c r="Q18" s="19" t="n">
        <f aca="false">SUM(Q8:Q17)</f>
        <v>69298970</v>
      </c>
      <c r="R18" s="19" t="n">
        <f aca="false">SUM(R8:R17)</f>
        <v>8530149</v>
      </c>
      <c r="S18" s="19" t="n">
        <f aca="false">Q18+R18</f>
        <v>77829119</v>
      </c>
      <c r="T18" s="19" t="n">
        <f aca="false">SUM(T8:T17)</f>
        <v>-10306018</v>
      </c>
      <c r="U18" s="19" t="n">
        <f aca="false">SUM(U8:U17)</f>
        <v>67523101</v>
      </c>
    </row>
    <row r="19" customFormat="false" ht="15" hidden="false" customHeight="false" outlineLevel="0" collapsed="false">
      <c r="E19" s="17"/>
      <c r="F19" s="20"/>
      <c r="G19" s="17"/>
      <c r="H19" s="17"/>
      <c r="I19" s="17"/>
      <c r="K19" s="17"/>
      <c r="L19" s="17"/>
      <c r="M19" s="17"/>
      <c r="N19" s="17"/>
      <c r="O19" s="17"/>
      <c r="Q19" s="9"/>
      <c r="R19" s="10"/>
      <c r="T19" s="9"/>
      <c r="U19" s="10"/>
    </row>
    <row r="20" customFormat="false" ht="27" hidden="true" customHeight="true" outlineLevel="0" collapsed="false">
      <c r="A20" s="21" t="s">
        <v>34</v>
      </c>
      <c r="B20" s="21"/>
      <c r="C20" s="21"/>
      <c r="D20" s="22"/>
      <c r="E20" s="23"/>
      <c r="F20" s="23"/>
      <c r="G20" s="23"/>
      <c r="H20" s="23"/>
      <c r="I20" s="23"/>
      <c r="J20" s="22"/>
      <c r="K20" s="23"/>
      <c r="L20" s="23"/>
      <c r="M20" s="23"/>
      <c r="N20" s="23"/>
      <c r="O20" s="23"/>
      <c r="P20" s="22"/>
      <c r="Q20" s="24"/>
      <c r="R20" s="25"/>
      <c r="S20" s="26"/>
      <c r="T20" s="24"/>
      <c r="U20" s="25" t="n">
        <f aca="false">+S20+T20</f>
        <v>0</v>
      </c>
    </row>
    <row r="21" customFormat="false" ht="15" hidden="true" customHeight="false" outlineLevel="0" collapsed="false">
      <c r="E21" s="17"/>
      <c r="F21" s="17"/>
      <c r="G21" s="17"/>
      <c r="H21" s="17"/>
      <c r="I21" s="17"/>
      <c r="K21" s="17"/>
      <c r="L21" s="17"/>
      <c r="M21" s="17"/>
      <c r="N21" s="17"/>
      <c r="O21" s="17"/>
      <c r="Q21" s="6"/>
      <c r="R21" s="27"/>
      <c r="S21" s="6"/>
      <c r="T21" s="27"/>
      <c r="U21" s="6"/>
    </row>
    <row r="22" customFormat="false" ht="15" hidden="false" customHeight="false" outlineLevel="0" collapsed="false">
      <c r="A22" s="4" t="s">
        <v>35</v>
      </c>
      <c r="B22" s="4"/>
      <c r="E22" s="18"/>
      <c r="F22" s="18"/>
      <c r="G22" s="18"/>
      <c r="H22" s="18"/>
      <c r="I22" s="18"/>
      <c r="K22" s="18"/>
      <c r="L22" s="18"/>
      <c r="M22" s="18"/>
      <c r="N22" s="18"/>
      <c r="O22" s="18"/>
      <c r="Q22" s="10"/>
      <c r="R22" s="27"/>
      <c r="S22" s="10"/>
      <c r="T22" s="27"/>
      <c r="U22" s="10"/>
    </row>
    <row r="23" customFormat="false" ht="13.8" hidden="false" customHeight="false" outlineLevel="0" collapsed="false">
      <c r="A23" s="4"/>
      <c r="B23" s="8" t="s">
        <v>36</v>
      </c>
      <c r="E23" s="9" t="n">
        <v>4372326</v>
      </c>
      <c r="F23" s="18"/>
      <c r="G23" s="10" t="n">
        <f aca="false">+E23+F23</f>
        <v>4372326</v>
      </c>
      <c r="H23" s="18"/>
      <c r="I23" s="10" t="n">
        <f aca="false">+G23+H23</f>
        <v>4372326</v>
      </c>
      <c r="K23" s="9" t="n">
        <v>2077739</v>
      </c>
      <c r="L23" s="18"/>
      <c r="M23" s="10" t="n">
        <f aca="false">+K23+L23</f>
        <v>2077739</v>
      </c>
      <c r="N23" s="18"/>
      <c r="O23" s="10" t="n">
        <f aca="false">+M23+N23</f>
        <v>2077739</v>
      </c>
      <c r="Q23" s="9" t="n">
        <v>40694</v>
      </c>
      <c r="R23" s="18"/>
      <c r="S23" s="10" t="n">
        <f aca="false">Q23+R23</f>
        <v>40694</v>
      </c>
      <c r="U23" s="10" t="n">
        <f aca="false">+S23+T23</f>
        <v>40694</v>
      </c>
    </row>
    <row r="24" customFormat="false" ht="13.8" hidden="false" customHeight="false" outlineLevel="0" collapsed="false">
      <c r="B24" s="0" t="s">
        <v>37</v>
      </c>
      <c r="E24" s="9" t="n">
        <v>2416446</v>
      </c>
      <c r="F24" s="18"/>
      <c r="G24" s="10" t="n">
        <f aca="false">+E24+F24</f>
        <v>2416446</v>
      </c>
      <c r="H24" s="18"/>
      <c r="I24" s="10" t="n">
        <f aca="false">+G24+H24</f>
        <v>2416446</v>
      </c>
      <c r="K24" s="9" t="n">
        <v>360864</v>
      </c>
      <c r="L24" s="18"/>
      <c r="M24" s="10" t="n">
        <f aca="false">+K24+L24</f>
        <v>360864</v>
      </c>
      <c r="N24" s="18"/>
      <c r="O24" s="10" t="n">
        <f aca="false">+M24+N24</f>
        <v>360864</v>
      </c>
      <c r="Q24" s="9" t="n">
        <v>3212434</v>
      </c>
      <c r="R24" s="18"/>
      <c r="S24" s="10" t="n">
        <f aca="false">Q24+R24</f>
        <v>3212434</v>
      </c>
      <c r="U24" s="10" t="n">
        <f aca="false">+S24+T24</f>
        <v>3212434</v>
      </c>
    </row>
    <row r="25" customFormat="false" ht="13.8" hidden="false" customHeight="false" outlineLevel="0" collapsed="false">
      <c r="B25" s="0" t="s">
        <v>38</v>
      </c>
      <c r="E25" s="9" t="n">
        <f aca="false">181312838-146560088</f>
        <v>34752750</v>
      </c>
      <c r="F25" s="9" t="n">
        <v>32926159</v>
      </c>
      <c r="G25" s="10" t="n">
        <f aca="false">+E25+F25</f>
        <v>67678909</v>
      </c>
      <c r="H25" s="10"/>
      <c r="I25" s="10" t="n">
        <f aca="false">+G25+H25</f>
        <v>67678909</v>
      </c>
      <c r="K25" s="9" t="n">
        <v>43682484</v>
      </c>
      <c r="L25" s="9" t="n">
        <v>15927036</v>
      </c>
      <c r="M25" s="10" t="n">
        <f aca="false">+K25+L25</f>
        <v>59609520</v>
      </c>
      <c r="N25" s="10" t="n">
        <f aca="false">-AD!J23+AD!I40+AD!I47-AD!J53</f>
        <v>-13217070.938548</v>
      </c>
      <c r="O25" s="10" t="n">
        <f aca="false">+M25+N25</f>
        <v>46392449.061452</v>
      </c>
      <c r="Q25" s="9" t="n">
        <v>66573020</v>
      </c>
      <c r="R25" s="9" t="n">
        <v>17358621</v>
      </c>
      <c r="S25" s="10" t="n">
        <f aca="false">Q25+R25</f>
        <v>83931641</v>
      </c>
      <c r="T25" s="2" t="n">
        <f aca="false">-AD!N23+AD!M40+AD!M48-AD!N53</f>
        <v>-18536381.5234</v>
      </c>
      <c r="U25" s="10" t="n">
        <f aca="false">+S25+T25</f>
        <v>65395259.4766</v>
      </c>
    </row>
    <row r="26" customFormat="false" ht="13.8" hidden="false" customHeight="false" outlineLevel="0" collapsed="false">
      <c r="B26" s="0" t="s">
        <v>39</v>
      </c>
      <c r="E26" s="9" t="n">
        <v>953392</v>
      </c>
      <c r="F26" s="9"/>
      <c r="G26" s="10" t="n">
        <f aca="false">+E26+F26</f>
        <v>953392</v>
      </c>
      <c r="H26" s="18"/>
      <c r="I26" s="10" t="n">
        <f aca="false">+G26+H26</f>
        <v>953392</v>
      </c>
      <c r="K26" s="9" t="n">
        <v>584801</v>
      </c>
      <c r="L26" s="9"/>
      <c r="M26" s="10" t="n">
        <f aca="false">+K26+L26</f>
        <v>584801</v>
      </c>
      <c r="N26" s="18"/>
      <c r="O26" s="10" t="n">
        <f aca="false">+M26+N26</f>
        <v>584801</v>
      </c>
      <c r="Q26" s="9" t="n">
        <v>661755</v>
      </c>
      <c r="R26" s="18"/>
      <c r="S26" s="10" t="n">
        <f aca="false">Q26+R26</f>
        <v>661755</v>
      </c>
      <c r="U26" s="10" t="n">
        <f aca="false">+S26+T26</f>
        <v>661755</v>
      </c>
    </row>
    <row r="27" customFormat="false" ht="13.8" hidden="false" customHeight="false" outlineLevel="0" collapsed="false">
      <c r="B27" s="0" t="s">
        <v>40</v>
      </c>
      <c r="E27" s="9" t="n">
        <v>15830682</v>
      </c>
      <c r="F27" s="9" t="n">
        <v>417615</v>
      </c>
      <c r="G27" s="10" t="n">
        <f aca="false">+E27+F27</f>
        <v>16248297</v>
      </c>
      <c r="H27" s="18"/>
      <c r="I27" s="10" t="n">
        <f aca="false">+G27+H27</f>
        <v>16248297</v>
      </c>
      <c r="K27" s="9" t="n">
        <v>12779430</v>
      </c>
      <c r="L27" s="9" t="n">
        <v>1908158</v>
      </c>
      <c r="M27" s="10" t="n">
        <f aca="false">+K27+L27</f>
        <v>14687588</v>
      </c>
      <c r="N27" s="18"/>
      <c r="O27" s="10" t="n">
        <f aca="false">+M27+N27</f>
        <v>14687588</v>
      </c>
      <c r="Q27" s="9" t="n">
        <v>11586243</v>
      </c>
      <c r="R27" s="9" t="n">
        <v>241844</v>
      </c>
      <c r="S27" s="10" t="n">
        <f aca="false">Q27+R27</f>
        <v>11828087</v>
      </c>
      <c r="U27" s="10" t="n">
        <f aca="false">+S27+T27</f>
        <v>11828087</v>
      </c>
    </row>
    <row r="28" customFormat="false" ht="13.8" hidden="false" customHeight="false" outlineLevel="0" collapsed="false">
      <c r="B28" s="0" t="s">
        <v>41</v>
      </c>
      <c r="E28" s="10"/>
      <c r="F28" s="18"/>
      <c r="G28" s="10" t="n">
        <f aca="false">+E28+F28</f>
        <v>0</v>
      </c>
      <c r="H28" s="18"/>
      <c r="I28" s="10" t="n">
        <f aca="false">+G28+H28</f>
        <v>0</v>
      </c>
      <c r="K28" s="18" t="n">
        <v>4147107</v>
      </c>
      <c r="L28" s="18"/>
      <c r="M28" s="10" t="n">
        <f aca="false">+K28+L28</f>
        <v>4147107</v>
      </c>
      <c r="N28" s="18"/>
      <c r="O28" s="10" t="n">
        <f aca="false">+M28+N28</f>
        <v>4147107</v>
      </c>
      <c r="Q28" s="18"/>
      <c r="R28" s="18"/>
      <c r="S28" s="10" t="n">
        <f aca="false">Q28+R28</f>
        <v>0</v>
      </c>
      <c r="U28" s="10" t="n">
        <f aca="false">+S28+T28</f>
        <v>0</v>
      </c>
    </row>
    <row r="29" customFormat="false" ht="13.8" hidden="false" customHeight="false" outlineLevel="0" collapsed="false">
      <c r="B29" s="0" t="s">
        <v>42</v>
      </c>
      <c r="E29" s="9" t="n">
        <v>273347</v>
      </c>
      <c r="F29" s="9" t="n">
        <v>1836716</v>
      </c>
      <c r="G29" s="10" t="n">
        <f aca="false">+E29+F29</f>
        <v>2110063</v>
      </c>
      <c r="H29" s="18"/>
      <c r="I29" s="10" t="n">
        <f aca="false">+G29+H29</f>
        <v>2110063</v>
      </c>
      <c r="K29" s="9" t="n">
        <v>1673584</v>
      </c>
      <c r="L29" s="9"/>
      <c r="M29" s="10" t="n">
        <f aca="false">+K29+L29</f>
        <v>1673584</v>
      </c>
      <c r="N29" s="18"/>
      <c r="O29" s="10" t="n">
        <f aca="false">+M29+N29</f>
        <v>1673584</v>
      </c>
      <c r="Q29" s="9" t="n">
        <v>1422229</v>
      </c>
      <c r="R29" s="18"/>
      <c r="S29" s="10" t="n">
        <f aca="false">Q29+R29</f>
        <v>1422229</v>
      </c>
      <c r="U29" s="10" t="n">
        <f aca="false">+S29+T29</f>
        <v>1422229</v>
      </c>
    </row>
    <row r="30" customFormat="false" ht="13.8" hidden="false" customHeight="false" outlineLevel="0" collapsed="false">
      <c r="B30" s="0" t="s">
        <v>43</v>
      </c>
      <c r="E30" s="9" t="n">
        <v>42623206</v>
      </c>
      <c r="F30" s="9"/>
      <c r="G30" s="10" t="n">
        <f aca="false">+E30+F30</f>
        <v>42623206</v>
      </c>
      <c r="H30" s="18"/>
      <c r="I30" s="10" t="n">
        <f aca="false">+G30+H30</f>
        <v>42623206</v>
      </c>
      <c r="K30" s="9" t="n">
        <v>39016871</v>
      </c>
      <c r="L30" s="9"/>
      <c r="M30" s="10" t="n">
        <f aca="false">+K30+L30</f>
        <v>39016871</v>
      </c>
      <c r="N30" s="18"/>
      <c r="O30" s="10" t="n">
        <f aca="false">+M30+N30</f>
        <v>39016871</v>
      </c>
      <c r="Q30" s="9" t="n">
        <v>44513438</v>
      </c>
      <c r="R30" s="18"/>
      <c r="S30" s="10" t="n">
        <f aca="false">Q30+R30</f>
        <v>44513438</v>
      </c>
      <c r="U30" s="10" t="n">
        <f aca="false">+S30+T30</f>
        <v>44513438</v>
      </c>
    </row>
    <row r="31" customFormat="false" ht="13.8" hidden="false" customHeight="false" outlineLevel="0" collapsed="false">
      <c r="B31" s="0" t="s">
        <v>44</v>
      </c>
      <c r="E31" s="10" t="n">
        <v>0</v>
      </c>
      <c r="F31" s="10" t="n">
        <v>280196</v>
      </c>
      <c r="G31" s="10" t="n">
        <f aca="false">+E31+F31</f>
        <v>280196</v>
      </c>
      <c r="H31" s="10"/>
      <c r="I31" s="10" t="n">
        <f aca="false">+G31+H31</f>
        <v>280196</v>
      </c>
      <c r="K31" s="10" t="n">
        <v>261500</v>
      </c>
      <c r="L31" s="10" t="n">
        <v>135662</v>
      </c>
      <c r="M31" s="10" t="n">
        <f aca="false">+K31+L31</f>
        <v>397162</v>
      </c>
      <c r="N31" s="10" t="n">
        <f aca="false">+AD!I46+AD!I62</f>
        <v>3164337.185148</v>
      </c>
      <c r="O31" s="10" t="n">
        <f aca="false">+M31+N31</f>
        <v>3561499.185148</v>
      </c>
      <c r="Q31" s="10" t="n">
        <v>0</v>
      </c>
      <c r="R31" s="18"/>
      <c r="S31" s="10" t="n">
        <f aca="false">Q31+R31</f>
        <v>0</v>
      </c>
      <c r="T31" s="2" t="n">
        <f aca="false">+AD!M46+AD!M62</f>
        <v>4078003.935148</v>
      </c>
      <c r="U31" s="10" t="n">
        <f aca="false">+S31+T31</f>
        <v>4078003.935148</v>
      </c>
    </row>
    <row r="32" customFormat="false" ht="13.8" hidden="false" customHeight="false" outlineLevel="0" collapsed="false">
      <c r="B32" s="0" t="s">
        <v>45</v>
      </c>
      <c r="E32" s="9" t="n">
        <v>1983055</v>
      </c>
      <c r="F32" s="9" t="n">
        <v>62029</v>
      </c>
      <c r="G32" s="10" t="n">
        <f aca="false">+E32+F32</f>
        <v>2045084</v>
      </c>
      <c r="H32" s="28"/>
      <c r="I32" s="10" t="n">
        <f aca="false">+G32+H32</f>
        <v>2045084</v>
      </c>
      <c r="K32" s="9" t="n">
        <v>1500</v>
      </c>
      <c r="L32" s="9" t="n">
        <v>59027</v>
      </c>
      <c r="M32" s="10" t="n">
        <f aca="false">+K32+L32</f>
        <v>60527</v>
      </c>
      <c r="N32" s="28"/>
      <c r="O32" s="10" t="n">
        <f aca="false">+M32+N32</f>
        <v>60527</v>
      </c>
      <c r="Q32" s="9" t="n">
        <v>105894</v>
      </c>
      <c r="R32" s="9" t="n">
        <v>35121</v>
      </c>
      <c r="S32" s="10" t="n">
        <f aca="false">Q32+R32</f>
        <v>141015</v>
      </c>
      <c r="U32" s="10" t="n">
        <f aca="false">+S32+T32</f>
        <v>141015</v>
      </c>
    </row>
    <row r="33" customFormat="false" ht="15" hidden="false" customHeight="false" outlineLevel="0" collapsed="false">
      <c r="A33" s="4" t="s">
        <v>46</v>
      </c>
      <c r="E33" s="19" t="n">
        <f aca="false">SUM(E23:E32)</f>
        <v>103205204</v>
      </c>
      <c r="F33" s="19" t="n">
        <f aca="false">SUM(F23:F32)</f>
        <v>35522715</v>
      </c>
      <c r="G33" s="19" t="n">
        <f aca="false">SUM(G23:G32)</f>
        <v>138727919</v>
      </c>
      <c r="H33" s="19" t="n">
        <f aca="false">SUM(H23:H32)</f>
        <v>0</v>
      </c>
      <c r="I33" s="19" t="n">
        <f aca="false">SUM(I23:I32)</f>
        <v>138727919</v>
      </c>
      <c r="K33" s="19" t="n">
        <f aca="false">SUM(K23:K32)</f>
        <v>104585880</v>
      </c>
      <c r="L33" s="19" t="n">
        <f aca="false">SUM(L23:L32)</f>
        <v>18029883</v>
      </c>
      <c r="M33" s="19" t="n">
        <f aca="false">SUM(M23:M32)</f>
        <v>122615763</v>
      </c>
      <c r="N33" s="19" t="n">
        <f aca="false">SUM(N23:N32)</f>
        <v>-10052733.7534</v>
      </c>
      <c r="O33" s="19" t="n">
        <f aca="false">SUM(O23:O32)</f>
        <v>112563029.2466</v>
      </c>
      <c r="Q33" s="19" t="n">
        <f aca="false">SUM(Q23:Q32)</f>
        <v>128115707</v>
      </c>
      <c r="R33" s="19" t="n">
        <f aca="false">SUM(R23:R32)</f>
        <v>17635586</v>
      </c>
      <c r="S33" s="19" t="n">
        <f aca="false">SUM(S23:S32)</f>
        <v>145751293</v>
      </c>
      <c r="T33" s="19" t="n">
        <f aca="false">SUM(T23:T32)</f>
        <v>-14458377.588252</v>
      </c>
      <c r="U33" s="19" t="n">
        <f aca="false">SUM(U23:U32)</f>
        <v>131292915.411748</v>
      </c>
    </row>
    <row r="34" customFormat="false" ht="15" hidden="false" customHeight="false" outlineLevel="0" collapsed="false">
      <c r="A34" s="4" t="s">
        <v>47</v>
      </c>
      <c r="E34" s="19" t="n">
        <f aca="false">E33+E18</f>
        <v>225559502</v>
      </c>
      <c r="F34" s="19" t="n">
        <f aca="false">F33+F18</f>
        <v>82097568</v>
      </c>
      <c r="G34" s="19" t="n">
        <f aca="false">G33+G18</f>
        <v>307657070</v>
      </c>
      <c r="H34" s="19" t="n">
        <f aca="false">H33+H18</f>
        <v>0</v>
      </c>
      <c r="I34" s="19" t="n">
        <f aca="false">I33+I18</f>
        <v>307657070</v>
      </c>
      <c r="K34" s="19" t="n">
        <f aca="false">K33+K18</f>
        <v>210970049</v>
      </c>
      <c r="L34" s="19" t="n">
        <f aca="false">L33+L18</f>
        <v>45567378</v>
      </c>
      <c r="M34" s="19" t="n">
        <f aca="false">M33+M18</f>
        <v>256537427</v>
      </c>
      <c r="N34" s="19" t="n">
        <f aca="false">N33+N18</f>
        <v>-44358267.7534</v>
      </c>
      <c r="O34" s="19" t="n">
        <f aca="false">O33+O18</f>
        <v>212179159.2466</v>
      </c>
      <c r="Q34" s="19" t="n">
        <f aca="false">Q33+Q18</f>
        <v>197414677</v>
      </c>
      <c r="R34" s="19" t="n">
        <f aca="false">R18+R33</f>
        <v>26165735</v>
      </c>
      <c r="S34" s="19" t="n">
        <f aca="false">Q34+R34</f>
        <v>223580412</v>
      </c>
      <c r="T34" s="19" t="n">
        <f aca="false">T18+T33</f>
        <v>-24764395.588252</v>
      </c>
      <c r="U34" s="19" t="n">
        <f aca="false">+U33+U18</f>
        <v>198816016.411748</v>
      </c>
    </row>
    <row r="35" customFormat="false" ht="15" hidden="false" customHeight="false" outlineLevel="0" collapsed="false">
      <c r="E35" s="17"/>
      <c r="F35" s="17"/>
      <c r="G35" s="17"/>
      <c r="H35" s="17"/>
      <c r="I35" s="17"/>
      <c r="K35" s="17"/>
      <c r="L35" s="17"/>
      <c r="M35" s="17"/>
      <c r="N35" s="17"/>
      <c r="O35" s="17"/>
      <c r="Q35" s="6"/>
      <c r="R35" s="7"/>
      <c r="S35" s="6"/>
      <c r="T35" s="7"/>
      <c r="U35" s="6"/>
    </row>
    <row r="36" customFormat="false" ht="15" hidden="false" customHeight="false" outlineLevel="0" collapsed="false">
      <c r="C36" s="29" t="s">
        <v>48</v>
      </c>
      <c r="D36" s="29"/>
      <c r="E36" s="30"/>
      <c r="F36" s="30"/>
      <c r="G36" s="30"/>
      <c r="H36" s="30"/>
      <c r="I36" s="30"/>
      <c r="J36" s="29"/>
      <c r="K36" s="30"/>
      <c r="L36" s="30"/>
      <c r="M36" s="30"/>
      <c r="N36" s="30"/>
      <c r="O36" s="30"/>
      <c r="P36" s="29"/>
      <c r="Q36" s="10"/>
      <c r="S36" s="10"/>
      <c r="U36" s="10"/>
    </row>
    <row r="37" customFormat="false" ht="13.8" hidden="false" customHeight="false" outlineLevel="0" collapsed="false">
      <c r="A37" s="4" t="s">
        <v>49</v>
      </c>
      <c r="E37" s="18"/>
      <c r="F37" s="18"/>
      <c r="G37" s="18"/>
      <c r="H37" s="18"/>
      <c r="I37" s="18"/>
      <c r="K37" s="18"/>
      <c r="L37" s="18"/>
      <c r="M37" s="18"/>
      <c r="N37" s="18"/>
      <c r="O37" s="18"/>
      <c r="Q37" s="10"/>
      <c r="S37" s="10"/>
      <c r="U37" s="10"/>
    </row>
    <row r="38" customFormat="false" ht="13.8" hidden="false" customHeight="false" outlineLevel="0" collapsed="false">
      <c r="A38" s="4"/>
      <c r="B38" s="0" t="s">
        <v>50</v>
      </c>
      <c r="E38" s="9" t="n">
        <v>9837490</v>
      </c>
      <c r="F38" s="9" t="n">
        <v>1479636</v>
      </c>
      <c r="G38" s="10" t="n">
        <f aca="false">+E38+F38</f>
        <v>11317126</v>
      </c>
      <c r="H38" s="18"/>
      <c r="I38" s="10" t="n">
        <f aca="false">+G38+H38</f>
        <v>11317126</v>
      </c>
      <c r="K38" s="9" t="n">
        <v>50776</v>
      </c>
      <c r="L38" s="31"/>
      <c r="M38" s="10" t="n">
        <f aca="false">+K38+L38</f>
        <v>50776</v>
      </c>
      <c r="N38" s="18"/>
      <c r="O38" s="10" t="n">
        <f aca="false">+M38+N38</f>
        <v>50776</v>
      </c>
      <c r="Q38" s="9"/>
      <c r="S38" s="10"/>
      <c r="U38" s="10"/>
    </row>
    <row r="39" customFormat="false" ht="13.8" hidden="false" customHeight="false" outlineLevel="0" collapsed="false">
      <c r="B39" s="0" t="s">
        <v>51</v>
      </c>
      <c r="E39" s="9" t="n">
        <v>38663</v>
      </c>
      <c r="F39" s="9"/>
      <c r="G39" s="10" t="n">
        <f aca="false">+E39+F39</f>
        <v>38663</v>
      </c>
      <c r="H39" s="18"/>
      <c r="I39" s="10" t="n">
        <f aca="false">+G39+H39</f>
        <v>38663</v>
      </c>
      <c r="K39" s="9" t="n">
        <v>3385113</v>
      </c>
      <c r="L39" s="9" t="n">
        <v>1723259</v>
      </c>
      <c r="M39" s="10" t="n">
        <f aca="false">+K39+L39</f>
        <v>5108372</v>
      </c>
      <c r="N39" s="18"/>
      <c r="O39" s="10" t="n">
        <f aca="false">+M39+N39</f>
        <v>5108372</v>
      </c>
      <c r="Q39" s="9" t="n">
        <v>25133387</v>
      </c>
      <c r="R39" s="9" t="n">
        <v>2011281</v>
      </c>
      <c r="S39" s="10" t="n">
        <f aca="false">+Q39+R39</f>
        <v>27144668</v>
      </c>
      <c r="U39" s="10" t="n">
        <f aca="false">+S39+T39</f>
        <v>27144668</v>
      </c>
    </row>
    <row r="40" customFormat="false" ht="13.8" hidden="false" customHeight="false" outlineLevel="0" collapsed="false">
      <c r="B40" s="0" t="s">
        <v>52</v>
      </c>
      <c r="E40" s="9" t="n">
        <v>4390970</v>
      </c>
      <c r="F40" s="9"/>
      <c r="G40" s="10" t="n">
        <f aca="false">+E40+F40</f>
        <v>4390970</v>
      </c>
      <c r="H40" s="18"/>
      <c r="I40" s="10" t="n">
        <f aca="false">+G40+H40</f>
        <v>4390970</v>
      </c>
      <c r="K40" s="9" t="n">
        <v>2484731</v>
      </c>
      <c r="L40" s="9"/>
      <c r="M40" s="10" t="n">
        <f aca="false">+K40+L40</f>
        <v>2484731</v>
      </c>
      <c r="N40" s="18"/>
      <c r="O40" s="10" t="n">
        <f aca="false">+M40+N40</f>
        <v>2484731</v>
      </c>
      <c r="Q40" s="9" t="n">
        <v>0</v>
      </c>
      <c r="R40" s="9" t="n">
        <v>0</v>
      </c>
      <c r="S40" s="10" t="n">
        <f aca="false">+Q40+R40</f>
        <v>0</v>
      </c>
      <c r="U40" s="10" t="n">
        <f aca="false">+S40+T40</f>
        <v>0</v>
      </c>
    </row>
    <row r="41" customFormat="false" ht="13.8" hidden="false" customHeight="false" outlineLevel="0" collapsed="false">
      <c r="B41" s="0" t="s">
        <v>53</v>
      </c>
      <c r="E41" s="18"/>
      <c r="F41" s="9"/>
      <c r="G41" s="18"/>
      <c r="H41" s="18"/>
      <c r="I41" s="10"/>
      <c r="K41" s="18"/>
      <c r="L41" s="9"/>
      <c r="M41" s="18"/>
      <c r="N41" s="18"/>
      <c r="O41" s="10" t="n">
        <f aca="false">+M41+N41</f>
        <v>0</v>
      </c>
      <c r="Q41" s="18"/>
      <c r="R41" s="9"/>
      <c r="S41" s="10"/>
      <c r="U41" s="10"/>
    </row>
    <row r="42" customFormat="false" ht="13.8" hidden="false" customHeight="false" outlineLevel="0" collapsed="false">
      <c r="B42" s="0" t="s">
        <v>54</v>
      </c>
      <c r="E42" s="9" t="n">
        <v>26267063</v>
      </c>
      <c r="F42" s="9" t="n">
        <v>3497207</v>
      </c>
      <c r="G42" s="10" t="n">
        <f aca="false">+E42+F42</f>
        <v>29764270</v>
      </c>
      <c r="H42" s="18"/>
      <c r="I42" s="10" t="n">
        <f aca="false">+G42+H42</f>
        <v>29764270</v>
      </c>
      <c r="K42" s="9" t="n">
        <v>20932053</v>
      </c>
      <c r="L42" s="9" t="n">
        <v>2140093</v>
      </c>
      <c r="M42" s="10" t="n">
        <f aca="false">+K42+L42</f>
        <v>23072146</v>
      </c>
      <c r="N42" s="18"/>
      <c r="O42" s="10" t="n">
        <f aca="false">+M42+N42</f>
        <v>23072146</v>
      </c>
      <c r="Q42" s="9" t="n">
        <f aca="false">19562775-1869732</f>
        <v>17693043</v>
      </c>
      <c r="R42" s="9" t="n">
        <v>599812</v>
      </c>
      <c r="S42" s="10" t="n">
        <f aca="false">+Q42+R42</f>
        <v>18292855</v>
      </c>
      <c r="U42" s="10" t="n">
        <f aca="false">+S42+T42</f>
        <v>18292855</v>
      </c>
    </row>
    <row r="43" customFormat="false" ht="13.8" hidden="false" customHeight="false" outlineLevel="0" collapsed="false">
      <c r="B43" s="0" t="s">
        <v>28</v>
      </c>
      <c r="E43" s="9" t="n">
        <v>673963</v>
      </c>
      <c r="F43" s="9" t="n">
        <v>30134511</v>
      </c>
      <c r="G43" s="10" t="n">
        <f aca="false">+E43+F43</f>
        <v>30808474</v>
      </c>
      <c r="H43" s="10"/>
      <c r="I43" s="10" t="n">
        <f aca="false">+G43+H43</f>
        <v>30808474</v>
      </c>
      <c r="K43" s="9" t="n">
        <v>5069876</v>
      </c>
      <c r="L43" s="9" t="n">
        <v>12478474</v>
      </c>
      <c r="M43" s="10" t="n">
        <f aca="false">+K43+L43</f>
        <v>17548350</v>
      </c>
      <c r="N43" s="10" t="n">
        <f aca="false">-AD!I13-AD!I14</f>
        <v>-12628876</v>
      </c>
      <c r="O43" s="10" t="n">
        <f aca="false">+M43+N43</f>
        <v>4919474</v>
      </c>
      <c r="Q43" s="9" t="n">
        <f aca="false">10819633-10628880+1869732</f>
        <v>2060485</v>
      </c>
      <c r="R43" s="9" t="n">
        <v>5099200</v>
      </c>
      <c r="S43" s="10" t="n">
        <f aca="false">+Q43+R43</f>
        <v>7159685</v>
      </c>
      <c r="T43" s="2" t="n">
        <f aca="false">-AD!M13</f>
        <v>-5099200</v>
      </c>
      <c r="U43" s="10" t="n">
        <f aca="false">+S43+T43</f>
        <v>2060485</v>
      </c>
    </row>
    <row r="44" customFormat="false" ht="13.8" hidden="true" customHeight="false" outlineLevel="0" collapsed="false">
      <c r="B44" s="0" t="s">
        <v>55</v>
      </c>
      <c r="E44" s="9"/>
      <c r="F44" s="32"/>
      <c r="G44" s="18"/>
      <c r="H44" s="18"/>
      <c r="I44" s="10" t="n">
        <f aca="false">+G44+H44</f>
        <v>0</v>
      </c>
      <c r="K44" s="9"/>
      <c r="L44" s="32"/>
      <c r="M44" s="18"/>
      <c r="N44" s="18"/>
      <c r="O44" s="10" t="n">
        <f aca="false">+M44+N44</f>
        <v>0</v>
      </c>
      <c r="Q44" s="9"/>
      <c r="R44" s="32"/>
      <c r="S44" s="10" t="n">
        <f aca="false">+Q44+R44</f>
        <v>0</v>
      </c>
      <c r="U44" s="10" t="n">
        <f aca="false">+S44+T44</f>
        <v>0</v>
      </c>
    </row>
    <row r="45" customFormat="false" ht="13.8" hidden="false" customHeight="false" outlineLevel="0" collapsed="false">
      <c r="B45" s="0" t="s">
        <v>56</v>
      </c>
      <c r="E45" s="9" t="n">
        <v>162450</v>
      </c>
      <c r="F45" s="9" t="n">
        <v>2425345</v>
      </c>
      <c r="G45" s="10" t="n">
        <f aca="false">+E45+F45</f>
        <v>2587795</v>
      </c>
      <c r="H45" s="18"/>
      <c r="I45" s="10" t="n">
        <f aca="false">+G45+H45</f>
        <v>2587795</v>
      </c>
      <c r="K45" s="9" t="n">
        <v>7588859</v>
      </c>
      <c r="L45" s="9" t="n">
        <v>1332387</v>
      </c>
      <c r="M45" s="10" t="n">
        <f aca="false">+K45+L45</f>
        <v>8921246</v>
      </c>
      <c r="N45" s="18"/>
      <c r="O45" s="10" t="n">
        <f aca="false">+M45+N45</f>
        <v>8921246</v>
      </c>
      <c r="Q45" s="9" t="n">
        <f aca="false">4228478</f>
        <v>4228478</v>
      </c>
      <c r="R45" s="9" t="n">
        <v>355666</v>
      </c>
      <c r="S45" s="10" t="n">
        <f aca="false">+Q45+R45</f>
        <v>4584144</v>
      </c>
      <c r="U45" s="10" t="n">
        <f aca="false">+S45+T45</f>
        <v>4584144</v>
      </c>
    </row>
    <row r="46" customFormat="false" ht="13.8" hidden="false" customHeight="false" outlineLevel="0" collapsed="false">
      <c r="B46" s="0" t="s">
        <v>57</v>
      </c>
      <c r="E46" s="9" t="n">
        <v>10003495</v>
      </c>
      <c r="F46" s="9" t="n">
        <v>978621</v>
      </c>
      <c r="G46" s="10" t="n">
        <f aca="false">+E46+F46</f>
        <v>10982116</v>
      </c>
      <c r="H46" s="18"/>
      <c r="I46" s="10" t="n">
        <f aca="false">+G46+H46</f>
        <v>10982116</v>
      </c>
      <c r="K46" s="9" t="n">
        <v>3860134</v>
      </c>
      <c r="L46" s="9" t="n">
        <v>13957</v>
      </c>
      <c r="M46" s="10" t="n">
        <f aca="false">+K46+L46</f>
        <v>3874091</v>
      </c>
      <c r="N46" s="18"/>
      <c r="O46" s="10" t="n">
        <f aca="false">+M46+N46</f>
        <v>3874091</v>
      </c>
      <c r="Q46" s="9" t="n">
        <v>3286332</v>
      </c>
      <c r="R46" s="9" t="n">
        <v>18473</v>
      </c>
      <c r="S46" s="10" t="n">
        <f aca="false">+Q46+R46</f>
        <v>3304805</v>
      </c>
      <c r="U46" s="10" t="n">
        <f aca="false">+S46+T46</f>
        <v>3304805</v>
      </c>
    </row>
    <row r="47" customFormat="false" ht="13.8" hidden="false" customHeight="false" outlineLevel="0" collapsed="false">
      <c r="B47" s="0" t="s">
        <v>58</v>
      </c>
      <c r="E47" s="9" t="n">
        <v>1143928</v>
      </c>
      <c r="F47" s="9" t="n">
        <v>676743</v>
      </c>
      <c r="G47" s="10" t="n">
        <f aca="false">+E47+F47</f>
        <v>1820671</v>
      </c>
      <c r="H47" s="10"/>
      <c r="I47" s="10" t="n">
        <f aca="false">+G47+H47</f>
        <v>1820671</v>
      </c>
      <c r="K47" s="9" t="n">
        <v>7675934</v>
      </c>
      <c r="L47" s="9" t="n">
        <v>431243</v>
      </c>
      <c r="M47" s="10" t="n">
        <f aca="false">+K47+L47</f>
        <v>8107177</v>
      </c>
      <c r="N47" s="10" t="n">
        <f aca="false">-AD!I29-AD!I15</f>
        <v>-6673333</v>
      </c>
      <c r="O47" s="10" t="n">
        <f aca="false">+M47+N47</f>
        <v>1433844</v>
      </c>
      <c r="Q47" s="9" t="n">
        <v>1953502</v>
      </c>
      <c r="R47" s="9" t="n">
        <v>278886</v>
      </c>
      <c r="S47" s="10" t="n">
        <f aca="false">+Q47+R47</f>
        <v>2232388</v>
      </c>
      <c r="T47" s="2" t="n">
        <f aca="false">-AD!M29</f>
        <v>-656393</v>
      </c>
      <c r="U47" s="10" t="n">
        <f aca="false">+S47+T47</f>
        <v>1575995</v>
      </c>
    </row>
    <row r="48" customFormat="false" ht="13.8" hidden="false" customHeight="false" outlineLevel="0" collapsed="false">
      <c r="B48" s="0" t="s">
        <v>59</v>
      </c>
      <c r="E48" s="9" t="n">
        <v>6204090</v>
      </c>
      <c r="F48" s="9" t="n">
        <v>4213472</v>
      </c>
      <c r="G48" s="10" t="n">
        <f aca="false">+E48+F48</f>
        <v>10417562</v>
      </c>
      <c r="H48" s="18"/>
      <c r="I48" s="10" t="n">
        <f aca="false">+G48+H48</f>
        <v>10417562</v>
      </c>
      <c r="K48" s="9" t="n">
        <v>7584113</v>
      </c>
      <c r="L48" s="9" t="n">
        <v>2169404</v>
      </c>
      <c r="M48" s="10" t="n">
        <f aca="false">+K48+L48</f>
        <v>9753517</v>
      </c>
      <c r="N48" s="18"/>
      <c r="O48" s="10" t="n">
        <f aca="false">+M48+N48</f>
        <v>9753517</v>
      </c>
      <c r="Q48" s="9" t="n">
        <v>4524107</v>
      </c>
      <c r="R48" s="9" t="n">
        <v>982596</v>
      </c>
      <c r="S48" s="10" t="n">
        <f aca="false">+Q48+R48</f>
        <v>5506703</v>
      </c>
      <c r="U48" s="10" t="n">
        <f aca="false">+S48+T48</f>
        <v>5506703</v>
      </c>
    </row>
    <row r="49" customFormat="false" ht="13.8" hidden="false" customHeight="false" outlineLevel="0" collapsed="false">
      <c r="B49" s="0" t="s">
        <v>60</v>
      </c>
      <c r="E49" s="9"/>
      <c r="F49" s="9"/>
      <c r="G49" s="10" t="n">
        <f aca="false">+E49+F49</f>
        <v>0</v>
      </c>
      <c r="H49" s="10"/>
      <c r="I49" s="10" t="n">
        <f aca="false">+G49+H49</f>
        <v>0</v>
      </c>
      <c r="K49" s="9" t="n">
        <v>1519701</v>
      </c>
      <c r="L49" s="9" t="n">
        <v>699516</v>
      </c>
      <c r="M49" s="10" t="n">
        <f aca="false">+K49+L49</f>
        <v>2219217</v>
      </c>
      <c r="N49" s="10"/>
      <c r="O49" s="10" t="n">
        <f aca="false">+M49+N49</f>
        <v>2219217</v>
      </c>
      <c r="Q49" s="9"/>
      <c r="R49" s="9"/>
      <c r="S49" s="10"/>
      <c r="U49" s="10"/>
    </row>
    <row r="50" customFormat="false" ht="13.8" hidden="false" customHeight="false" outlineLevel="0" collapsed="false">
      <c r="B50" s="0" t="s">
        <v>61</v>
      </c>
      <c r="E50" s="9"/>
      <c r="F50" s="9"/>
      <c r="G50" s="10" t="n">
        <f aca="false">+E50+F50</f>
        <v>0</v>
      </c>
      <c r="H50" s="25"/>
      <c r="I50" s="10" t="n">
        <f aca="false">+G50+H50</f>
        <v>0</v>
      </c>
      <c r="K50" s="9" t="n">
        <v>0</v>
      </c>
      <c r="L50" s="9"/>
      <c r="M50" s="10" t="n">
        <f aca="false">+K50+L50</f>
        <v>0</v>
      </c>
      <c r="N50" s="25" t="n">
        <f aca="false">-AD!K32</f>
        <v>0</v>
      </c>
      <c r="O50" s="10" t="n">
        <f aca="false">+M50+N50</f>
        <v>0</v>
      </c>
      <c r="Q50" s="9" t="n">
        <v>4183053</v>
      </c>
      <c r="R50" s="9" t="n">
        <v>249138</v>
      </c>
      <c r="S50" s="10" t="n">
        <f aca="false">+Q50+R50</f>
        <v>4432191</v>
      </c>
      <c r="T50" s="2" t="n">
        <f aca="false">-AD!M32</f>
        <v>-2148000</v>
      </c>
      <c r="U50" s="10" t="n">
        <f aca="false">+S50+T50</f>
        <v>2284191</v>
      </c>
    </row>
    <row r="51" customFormat="false" ht="15" hidden="false" customHeight="false" outlineLevel="0" collapsed="false">
      <c r="A51" s="4" t="s">
        <v>62</v>
      </c>
      <c r="E51" s="19" t="n">
        <f aca="false">SUM(E38:E50)</f>
        <v>58722112</v>
      </c>
      <c r="F51" s="19" t="n">
        <f aca="false">SUM(F38:F50)</f>
        <v>43405535</v>
      </c>
      <c r="G51" s="19" t="n">
        <f aca="false">SUM(G38:G50)</f>
        <v>102127647</v>
      </c>
      <c r="H51" s="19" t="n">
        <f aca="false">SUM(H38:H50)</f>
        <v>0</v>
      </c>
      <c r="I51" s="19" t="n">
        <f aca="false">SUM(I38:I50)</f>
        <v>102127647</v>
      </c>
      <c r="K51" s="19" t="n">
        <f aca="false">SUM(K38:K50)</f>
        <v>60151290</v>
      </c>
      <c r="L51" s="19" t="n">
        <f aca="false">SUM(L38:L50)</f>
        <v>20988333</v>
      </c>
      <c r="M51" s="19" t="n">
        <f aca="false">SUM(M38:M50)</f>
        <v>81139623</v>
      </c>
      <c r="N51" s="19" t="n">
        <f aca="false">SUM(N38:N50)</f>
        <v>-19302209</v>
      </c>
      <c r="O51" s="19" t="n">
        <f aca="false">SUM(O38:O50)</f>
        <v>61837414</v>
      </c>
      <c r="Q51" s="19" t="n">
        <f aca="false">SUM(Q39:Q50)</f>
        <v>63062387</v>
      </c>
      <c r="R51" s="19" t="n">
        <f aca="false">SUM(R39:R50)</f>
        <v>9595052</v>
      </c>
      <c r="S51" s="19" t="n">
        <f aca="false">+Q51+R51</f>
        <v>72657439</v>
      </c>
      <c r="T51" s="19" t="n">
        <f aca="false">SUM(T39:T50)</f>
        <v>-7903593</v>
      </c>
      <c r="U51" s="19" t="n">
        <f aca="false">SUM(U39:U50)</f>
        <v>64753846</v>
      </c>
    </row>
    <row r="52" customFormat="false" ht="15" hidden="false" customHeight="false" outlineLevel="0" collapsed="false">
      <c r="E52" s="17"/>
      <c r="F52" s="20"/>
      <c r="G52" s="17"/>
      <c r="H52" s="17"/>
      <c r="I52" s="17"/>
      <c r="K52" s="17"/>
      <c r="L52" s="17"/>
      <c r="M52" s="17"/>
      <c r="N52" s="17"/>
      <c r="O52" s="17"/>
      <c r="Q52" s="10"/>
      <c r="S52" s="10"/>
      <c r="U52" s="10"/>
    </row>
    <row r="53" customFormat="false" ht="13.8" hidden="false" customHeight="false" outlineLevel="0" collapsed="false">
      <c r="A53" s="4" t="s">
        <v>63</v>
      </c>
      <c r="E53" s="18"/>
      <c r="F53" s="18"/>
      <c r="G53" s="18"/>
      <c r="H53" s="18"/>
      <c r="I53" s="18"/>
      <c r="K53" s="18"/>
      <c r="L53" s="18"/>
      <c r="M53" s="18"/>
      <c r="N53" s="18"/>
      <c r="O53" s="18"/>
      <c r="Q53" s="10"/>
      <c r="S53" s="10"/>
      <c r="U53" s="10"/>
    </row>
    <row r="54" customFormat="false" ht="13.8" hidden="false" customHeight="false" outlineLevel="0" collapsed="false">
      <c r="B54" s="0" t="s">
        <v>64</v>
      </c>
      <c r="E54" s="9" t="n">
        <v>8303510</v>
      </c>
      <c r="F54" s="9"/>
      <c r="G54" s="10" t="n">
        <f aca="false">+E54+F54</f>
        <v>8303510</v>
      </c>
      <c r="H54" s="18"/>
      <c r="I54" s="10" t="n">
        <f aca="false">+G54+H54</f>
        <v>8303510</v>
      </c>
      <c r="K54" s="9" t="n">
        <v>1654005</v>
      </c>
      <c r="L54" s="9" t="n">
        <v>909285</v>
      </c>
      <c r="M54" s="10" t="n">
        <f aca="false">+K54+L54</f>
        <v>2563290</v>
      </c>
      <c r="N54" s="18"/>
      <c r="O54" s="10" t="n">
        <f aca="false">+M54+N54</f>
        <v>2563290</v>
      </c>
      <c r="Q54" s="9" t="n">
        <v>16385448</v>
      </c>
      <c r="R54" s="9" t="n">
        <v>1354464</v>
      </c>
      <c r="S54" s="10" t="n">
        <f aca="false">+Q54+R54</f>
        <v>17739912</v>
      </c>
      <c r="U54" s="10" t="n">
        <f aca="false">+S54+T54</f>
        <v>17739912</v>
      </c>
    </row>
    <row r="55" customFormat="false" ht="13.8" hidden="false" customHeight="false" outlineLevel="0" collapsed="false">
      <c r="B55" s="0" t="s">
        <v>65</v>
      </c>
      <c r="E55" s="9" t="n">
        <v>0</v>
      </c>
      <c r="F55" s="9"/>
      <c r="G55" s="10" t="n">
        <f aca="false">+E55+F55</f>
        <v>0</v>
      </c>
      <c r="H55" s="18"/>
      <c r="I55" s="10" t="n">
        <f aca="false">+G55+H55</f>
        <v>0</v>
      </c>
      <c r="K55" s="9" t="n">
        <v>0</v>
      </c>
      <c r="L55" s="9"/>
      <c r="M55" s="10" t="n">
        <f aca="false">+K55+L55</f>
        <v>0</v>
      </c>
      <c r="N55" s="18"/>
      <c r="O55" s="10" t="n">
        <f aca="false">+M55+N55</f>
        <v>0</v>
      </c>
      <c r="Q55" s="9"/>
      <c r="R55" s="9"/>
      <c r="S55" s="10"/>
      <c r="U55" s="10"/>
    </row>
    <row r="56" customFormat="false" ht="13.8" hidden="false" customHeight="false" outlineLevel="0" collapsed="false">
      <c r="B56" s="0" t="s">
        <v>53</v>
      </c>
      <c r="E56" s="9"/>
      <c r="F56" s="18"/>
      <c r="G56" s="10"/>
      <c r="H56" s="18"/>
      <c r="I56" s="18"/>
      <c r="K56" s="9"/>
      <c r="L56" s="18"/>
      <c r="M56" s="10"/>
      <c r="N56" s="18"/>
      <c r="O56" s="10" t="n">
        <f aca="false">+M56+N56</f>
        <v>0</v>
      </c>
      <c r="Q56" s="9"/>
      <c r="R56" s="18"/>
      <c r="S56" s="10"/>
      <c r="U56" s="10"/>
    </row>
    <row r="57" customFormat="false" ht="13.8" hidden="false" customHeight="false" outlineLevel="0" collapsed="false">
      <c r="B57" s="8" t="s">
        <v>54</v>
      </c>
      <c r="C57" s="8"/>
      <c r="D57" s="8"/>
      <c r="E57" s="9" t="n">
        <v>2535062</v>
      </c>
      <c r="F57" s="9"/>
      <c r="G57" s="10" t="n">
        <f aca="false">+E57+F57</f>
        <v>2535062</v>
      </c>
      <c r="H57" s="18"/>
      <c r="I57" s="10" t="n">
        <f aca="false">+G57+H57</f>
        <v>2535062</v>
      </c>
      <c r="K57" s="9" t="n">
        <v>0</v>
      </c>
      <c r="L57" s="9"/>
      <c r="M57" s="10" t="n">
        <f aca="false">+K57+L57</f>
        <v>0</v>
      </c>
      <c r="N57" s="18"/>
      <c r="O57" s="10" t="n">
        <f aca="false">+M57+N57</f>
        <v>0</v>
      </c>
      <c r="Q57" s="9" t="n">
        <v>2203673</v>
      </c>
      <c r="R57" s="18"/>
      <c r="S57" s="10" t="n">
        <f aca="false">+Q57+R57</f>
        <v>2203673</v>
      </c>
      <c r="U57" s="10" t="n">
        <f aca="false">+S57+T57</f>
        <v>2203673</v>
      </c>
    </row>
    <row r="58" customFormat="false" ht="13.8" hidden="false" customHeight="false" outlineLevel="0" collapsed="false">
      <c r="B58" s="0" t="s">
        <v>66</v>
      </c>
      <c r="E58" s="9" t="n">
        <v>26543205</v>
      </c>
      <c r="F58" s="9"/>
      <c r="G58" s="10" t="n">
        <f aca="false">+E58+F58</f>
        <v>26543205</v>
      </c>
      <c r="H58" s="18"/>
      <c r="I58" s="10" t="n">
        <f aca="false">+G58+H58</f>
        <v>26543205</v>
      </c>
      <c r="K58" s="9" t="n">
        <v>0</v>
      </c>
      <c r="L58" s="9"/>
      <c r="M58" s="10" t="n">
        <f aca="false">+K58+L58</f>
        <v>0</v>
      </c>
      <c r="N58" s="18"/>
      <c r="O58" s="10" t="n">
        <f aca="false">+M58+N58</f>
        <v>0</v>
      </c>
      <c r="Q58" s="9" t="n">
        <f aca="false">10628880+2936828</f>
        <v>13565708</v>
      </c>
      <c r="R58" s="18"/>
      <c r="S58" s="10" t="n">
        <f aca="false">+Q58+R58</f>
        <v>13565708</v>
      </c>
      <c r="T58" s="2" t="n">
        <f aca="false">-AD!O30</f>
        <v>0</v>
      </c>
      <c r="U58" s="10" t="n">
        <f aca="false">+S58+T58</f>
        <v>13565708</v>
      </c>
    </row>
    <row r="59" customFormat="false" ht="13.8" hidden="false" customHeight="false" outlineLevel="0" collapsed="false">
      <c r="B59" s="0" t="s">
        <v>57</v>
      </c>
      <c r="E59" s="9" t="n">
        <v>3666071</v>
      </c>
      <c r="F59" s="9" t="n">
        <v>1145395</v>
      </c>
      <c r="G59" s="10" t="n">
        <f aca="false">+E59+F59</f>
        <v>4811466</v>
      </c>
      <c r="I59" s="10" t="n">
        <f aca="false">+G59+H59</f>
        <v>4811466</v>
      </c>
      <c r="K59" s="9" t="n">
        <v>13415188</v>
      </c>
      <c r="L59" s="9" t="n">
        <v>230650</v>
      </c>
      <c r="M59" s="10" t="n">
        <f aca="false">+K59+L59</f>
        <v>13645838</v>
      </c>
      <c r="N59" s="10"/>
      <c r="O59" s="10" t="n">
        <f aca="false">+M59+N59</f>
        <v>13645838</v>
      </c>
      <c r="Q59" s="9" t="n">
        <f aca="false">7566828-2936828+20813206</f>
        <v>25443206</v>
      </c>
      <c r="R59" s="18"/>
      <c r="S59" s="10" t="n">
        <f aca="false">+Q59+R59</f>
        <v>25443206</v>
      </c>
      <c r="T59" s="2" t="n">
        <f aca="false">-AD!M31</f>
        <v>-2251425</v>
      </c>
      <c r="U59" s="10" t="n">
        <f aca="false">+S59+T59</f>
        <v>23191781</v>
      </c>
    </row>
    <row r="60" customFormat="false" ht="13.8" hidden="false" customHeight="false" outlineLevel="0" collapsed="false">
      <c r="B60" s="0" t="s">
        <v>58</v>
      </c>
      <c r="E60" s="9" t="n">
        <v>2542451</v>
      </c>
      <c r="F60" s="9"/>
      <c r="G60" s="10" t="n">
        <f aca="false">+E60+F60</f>
        <v>2542451</v>
      </c>
      <c r="H60" s="10"/>
      <c r="I60" s="10" t="n">
        <f aca="false">+G60+H60</f>
        <v>2542451</v>
      </c>
      <c r="K60" s="9" t="n">
        <v>33856246</v>
      </c>
      <c r="L60" s="9"/>
      <c r="M60" s="10" t="n">
        <f aca="false">+K60+L60</f>
        <v>33856246</v>
      </c>
      <c r="N60" s="10" t="n">
        <f aca="false">-AD!I30</f>
        <v>-15292925</v>
      </c>
      <c r="O60" s="10" t="n">
        <f aca="false">+M60+N60</f>
        <v>18563321</v>
      </c>
      <c r="Q60" s="9"/>
      <c r="R60" s="31"/>
      <c r="S60" s="10"/>
      <c r="U60" s="10"/>
    </row>
    <row r="61" customFormat="false" ht="13.8" hidden="false" customHeight="false" outlineLevel="0" collapsed="false">
      <c r="B61" s="0" t="s">
        <v>67</v>
      </c>
      <c r="E61" s="9" t="n">
        <v>7193981</v>
      </c>
      <c r="F61" s="9" t="n">
        <v>2041698</v>
      </c>
      <c r="G61" s="10" t="n">
        <f aca="false">+E61+F61</f>
        <v>9235679</v>
      </c>
      <c r="H61" s="18"/>
      <c r="I61" s="10" t="n">
        <f aca="false">+G61+H61</f>
        <v>9235679</v>
      </c>
      <c r="K61" s="9" t="n">
        <v>8243480</v>
      </c>
      <c r="L61" s="9" t="n">
        <v>1518011</v>
      </c>
      <c r="M61" s="10" t="n">
        <f aca="false">+K61+L61</f>
        <v>9761491</v>
      </c>
      <c r="N61" s="18"/>
      <c r="O61" s="10" t="n">
        <f aca="false">+M61+N61</f>
        <v>9761491</v>
      </c>
      <c r="Q61" s="9" t="n">
        <f aca="false">5140510</f>
        <v>5140510</v>
      </c>
      <c r="R61" s="9" t="n">
        <v>964717</v>
      </c>
      <c r="S61" s="10" t="n">
        <f aca="false">+Q61+R61</f>
        <v>6105227</v>
      </c>
      <c r="U61" s="10" t="n">
        <f aca="false">+S61+T61</f>
        <v>6105227</v>
      </c>
    </row>
    <row r="62" customFormat="false" ht="13.8" hidden="false" customHeight="false" outlineLevel="0" collapsed="false">
      <c r="B62" s="0" t="s">
        <v>61</v>
      </c>
      <c r="E62" s="9" t="n">
        <v>16083778</v>
      </c>
      <c r="F62" s="9"/>
      <c r="G62" s="10" t="n">
        <f aca="false">+E62+F62</f>
        <v>16083778</v>
      </c>
      <c r="H62" s="10"/>
      <c r="I62" s="10" t="n">
        <f aca="false">+G62+H62</f>
        <v>16083778</v>
      </c>
      <c r="K62" s="9" t="n">
        <v>2580000</v>
      </c>
      <c r="L62" s="9"/>
      <c r="M62" s="10" t="n">
        <f aca="false">+K62+L62</f>
        <v>2580000</v>
      </c>
      <c r="N62" s="10"/>
      <c r="O62" s="10" t="n">
        <f aca="false">+M62+N62</f>
        <v>2580000</v>
      </c>
      <c r="Q62" s="9" t="n">
        <v>0</v>
      </c>
      <c r="R62" s="18"/>
      <c r="S62" s="10" t="n">
        <f aca="false">+Q62+R62</f>
        <v>0</v>
      </c>
      <c r="U62" s="10" t="n">
        <f aca="false">+S62+T62</f>
        <v>0</v>
      </c>
    </row>
    <row r="63" customFormat="false" ht="13.8" hidden="false" customHeight="false" outlineLevel="0" collapsed="false">
      <c r="B63" s="0" t="s">
        <v>60</v>
      </c>
      <c r="E63" s="9"/>
      <c r="F63" s="10"/>
      <c r="G63" s="10" t="n">
        <f aca="false">+E63+F63</f>
        <v>0</v>
      </c>
      <c r="H63" s="18"/>
      <c r="I63" s="10" t="n">
        <f aca="false">+G63+H63</f>
        <v>0</v>
      </c>
      <c r="K63" s="9" t="n">
        <v>2804159</v>
      </c>
      <c r="L63" s="18" t="n">
        <v>920040</v>
      </c>
      <c r="M63" s="10" t="n">
        <f aca="false">+K63+L63</f>
        <v>3724199</v>
      </c>
      <c r="N63" s="18"/>
      <c r="O63" s="10" t="n">
        <f aca="false">+M63+N63</f>
        <v>3724199</v>
      </c>
      <c r="Q63" s="9" t="n">
        <v>772443</v>
      </c>
      <c r="R63" s="18"/>
      <c r="S63" s="25" t="n">
        <f aca="false">+Q63+R63</f>
        <v>772443</v>
      </c>
      <c r="U63" s="25" t="n">
        <f aca="false">+S63+T63</f>
        <v>772443</v>
      </c>
    </row>
    <row r="64" customFormat="false" ht="15" hidden="false" customHeight="false" outlineLevel="0" collapsed="false">
      <c r="A64" s="4" t="s">
        <v>68</v>
      </c>
      <c r="E64" s="19" t="n">
        <f aca="false">SUM(E54:E63)</f>
        <v>66868058</v>
      </c>
      <c r="F64" s="19" t="n">
        <f aca="false">SUM(F54:F63)</f>
        <v>3187093</v>
      </c>
      <c r="G64" s="19" t="n">
        <f aca="false">SUM(G54:G63)</f>
        <v>70055151</v>
      </c>
      <c r="H64" s="19" t="n">
        <f aca="false">SUM(H54:H63)</f>
        <v>0</v>
      </c>
      <c r="I64" s="19" t="n">
        <f aca="false">SUM(I54:I63)</f>
        <v>70055151</v>
      </c>
      <c r="K64" s="19" t="n">
        <f aca="false">SUM(K54:K63)</f>
        <v>62553078</v>
      </c>
      <c r="L64" s="19" t="n">
        <f aca="false">SUM(L54:L63)</f>
        <v>3577986</v>
      </c>
      <c r="M64" s="19" t="n">
        <f aca="false">SUM(M54:M63)</f>
        <v>66131064</v>
      </c>
      <c r="N64" s="19" t="n">
        <f aca="false">SUM(N54:N63)</f>
        <v>-15292925</v>
      </c>
      <c r="O64" s="19" t="n">
        <f aca="false">SUM(O54:O63)</f>
        <v>50838139</v>
      </c>
      <c r="Q64" s="19" t="n">
        <f aca="false">SUM(Q54:Q63)</f>
        <v>63510988</v>
      </c>
      <c r="R64" s="19" t="n">
        <f aca="false">SUM(R54:R63)</f>
        <v>2319181</v>
      </c>
      <c r="S64" s="19" t="n">
        <f aca="false">+Q64+R64</f>
        <v>65830169</v>
      </c>
      <c r="T64" s="19" t="n">
        <f aca="false">SUM(T54:T63)</f>
        <v>-2251425</v>
      </c>
      <c r="U64" s="19" t="n">
        <f aca="false">SUM(U54:U63)</f>
        <v>63578744</v>
      </c>
    </row>
    <row r="65" customFormat="false" ht="15" hidden="false" customHeight="false" outlineLevel="0" collapsed="false">
      <c r="A65" s="4" t="s">
        <v>69</v>
      </c>
      <c r="E65" s="19" t="n">
        <f aca="false">E51+E64</f>
        <v>125590170</v>
      </c>
      <c r="F65" s="19" t="n">
        <f aca="false">F51+F64</f>
        <v>46592628</v>
      </c>
      <c r="G65" s="19" t="n">
        <f aca="false">G51+G64</f>
        <v>172182798</v>
      </c>
      <c r="H65" s="19" t="n">
        <f aca="false">H51+H64</f>
        <v>0</v>
      </c>
      <c r="I65" s="19" t="n">
        <f aca="false">I51+I64</f>
        <v>172182798</v>
      </c>
      <c r="K65" s="19" t="n">
        <f aca="false">K51+K64</f>
        <v>122704368</v>
      </c>
      <c r="L65" s="19" t="n">
        <f aca="false">L51+L64</f>
        <v>24566319</v>
      </c>
      <c r="M65" s="19" t="n">
        <f aca="false">M51+M64</f>
        <v>147270687</v>
      </c>
      <c r="N65" s="19" t="n">
        <f aca="false">N51+N64</f>
        <v>-34595134</v>
      </c>
      <c r="O65" s="19" t="n">
        <f aca="false">O51+O64</f>
        <v>112675553</v>
      </c>
      <c r="Q65" s="19" t="n">
        <f aca="false">Q51+Q64</f>
        <v>126573375</v>
      </c>
      <c r="R65" s="19" t="n">
        <f aca="false">R51+R64</f>
        <v>11914233</v>
      </c>
      <c r="S65" s="19" t="n">
        <f aca="false">+Q65+R65</f>
        <v>138487608</v>
      </c>
      <c r="T65" s="19" t="n">
        <f aca="false">+T64+T51</f>
        <v>-10155018</v>
      </c>
      <c r="U65" s="19" t="n">
        <f aca="false">+U64+U51</f>
        <v>128332590</v>
      </c>
    </row>
    <row r="66" customFormat="false" ht="15" hidden="false" customHeight="false" outlineLevel="0" collapsed="false">
      <c r="E66" s="18"/>
      <c r="F66" s="18"/>
      <c r="G66" s="18"/>
      <c r="H66" s="18"/>
      <c r="I66" s="18"/>
      <c r="K66" s="18"/>
      <c r="L66" s="18"/>
      <c r="M66" s="18"/>
      <c r="N66" s="18"/>
      <c r="O66" s="18"/>
      <c r="Q66" s="10"/>
      <c r="R66" s="10"/>
      <c r="S66" s="10"/>
      <c r="T66" s="10"/>
      <c r="U66" s="10"/>
    </row>
    <row r="67" customFormat="false" ht="13.8" hidden="false" customHeight="false" outlineLevel="0" collapsed="false">
      <c r="A67" s="4" t="s">
        <v>70</v>
      </c>
      <c r="B67" s="8"/>
      <c r="C67" s="8"/>
      <c r="D67" s="8"/>
      <c r="E67" s="18"/>
      <c r="F67" s="18"/>
      <c r="G67" s="18"/>
      <c r="H67" s="18"/>
      <c r="I67" s="18"/>
      <c r="J67" s="8"/>
      <c r="K67" s="18"/>
      <c r="L67" s="18"/>
      <c r="M67" s="18"/>
      <c r="N67" s="18"/>
      <c r="O67" s="18"/>
      <c r="P67" s="8"/>
      <c r="Q67" s="10"/>
      <c r="R67" s="10"/>
      <c r="S67" s="10"/>
      <c r="T67" s="10"/>
      <c r="U67" s="10"/>
    </row>
    <row r="68" customFormat="false" ht="13.8" hidden="false" customHeight="false" outlineLevel="0" collapsed="false">
      <c r="A68" s="8"/>
      <c r="B68" s="8" t="s">
        <v>71</v>
      </c>
      <c r="C68" s="8"/>
      <c r="D68" s="33"/>
      <c r="E68" s="9" t="n">
        <v>21629181</v>
      </c>
      <c r="F68" s="9" t="n">
        <v>18564158</v>
      </c>
      <c r="G68" s="10" t="n">
        <f aca="false">+E68+F68</f>
        <v>40193339</v>
      </c>
      <c r="H68" s="34"/>
      <c r="I68" s="10" t="n">
        <f aca="false">+G68+H68</f>
        <v>40193339</v>
      </c>
      <c r="J68" s="8"/>
      <c r="K68" s="9" t="n">
        <v>37143362</v>
      </c>
      <c r="L68" s="9" t="n">
        <v>13159302</v>
      </c>
      <c r="M68" s="10" t="n">
        <f aca="false">+K68+L68</f>
        <v>50302664</v>
      </c>
      <c r="N68" s="34"/>
      <c r="O68" s="10" t="n">
        <f aca="false">+M68+N68</f>
        <v>50302664</v>
      </c>
      <c r="P68" s="8"/>
      <c r="Q68" s="9" t="n">
        <f aca="false">+PAT!F19</f>
        <v>30006697</v>
      </c>
      <c r="R68" s="9" t="n">
        <f aca="false">+PAT!G19</f>
        <v>11015563</v>
      </c>
      <c r="S68" s="10" t="n">
        <f aca="false">+Q68+R68</f>
        <v>41022260</v>
      </c>
      <c r="T68" s="10"/>
      <c r="U68" s="10" t="n">
        <f aca="false">+S68+T68</f>
        <v>41022260</v>
      </c>
    </row>
    <row r="69" customFormat="false" ht="13.8" hidden="false" customHeight="false" outlineLevel="0" collapsed="false">
      <c r="A69" s="8"/>
      <c r="B69" s="8" t="s">
        <v>72</v>
      </c>
      <c r="C69" s="8"/>
      <c r="D69" s="33"/>
      <c r="E69" s="9" t="n">
        <v>920</v>
      </c>
      <c r="F69" s="9" t="n">
        <v>0</v>
      </c>
      <c r="G69" s="10" t="n">
        <f aca="false">+E69+F69</f>
        <v>920</v>
      </c>
      <c r="H69" s="34"/>
      <c r="I69" s="10" t="n">
        <f aca="false">+G69+H69</f>
        <v>920</v>
      </c>
      <c r="J69" s="8"/>
      <c r="K69" s="9" t="n">
        <v>6115920</v>
      </c>
      <c r="L69" s="9"/>
      <c r="M69" s="10" t="n">
        <f aca="false">+K69+L69</f>
        <v>6115920</v>
      </c>
      <c r="N69" s="34"/>
      <c r="O69" s="10" t="n">
        <f aca="false">+M69+N69</f>
        <v>6115920</v>
      </c>
      <c r="P69" s="8"/>
      <c r="Q69" s="9" t="n">
        <f aca="false">+PAT!F38</f>
        <v>920</v>
      </c>
      <c r="R69" s="9" t="n">
        <f aca="false">+PAT!G38</f>
        <v>0</v>
      </c>
      <c r="S69" s="10" t="n">
        <f aca="false">+Q69+R69</f>
        <v>920</v>
      </c>
      <c r="T69" s="10"/>
      <c r="U69" s="10" t="n">
        <f aca="false">+S69+T69</f>
        <v>920</v>
      </c>
    </row>
    <row r="70" customFormat="false" ht="13.8" hidden="false" customHeight="false" outlineLevel="0" collapsed="false">
      <c r="A70" s="8"/>
      <c r="B70" s="8" t="s">
        <v>73</v>
      </c>
      <c r="C70" s="8"/>
      <c r="D70" s="33"/>
      <c r="E70" s="9" t="n">
        <f aca="false">6135362+34797+820045+227072-3202431</f>
        <v>4014845</v>
      </c>
      <c r="F70" s="9" t="n">
        <f aca="false">2635685+14436+85174-24915-301241</f>
        <v>2409139</v>
      </c>
      <c r="G70" s="10" t="n">
        <f aca="false">+E70+F70</f>
        <v>6423984</v>
      </c>
      <c r="H70" s="32"/>
      <c r="I70" s="10" t="n">
        <f aca="false">+G70+H70</f>
        <v>6423984</v>
      </c>
      <c r="J70" s="8"/>
      <c r="K70" s="9" t="n">
        <v>6170159</v>
      </c>
      <c r="L70" s="9" t="n">
        <v>2026031</v>
      </c>
      <c r="M70" s="10" t="n">
        <f aca="false">+K70+L70</f>
        <v>8196190</v>
      </c>
      <c r="N70" s="32"/>
      <c r="O70" s="10" t="n">
        <f aca="false">+M70+N70</f>
        <v>8196190</v>
      </c>
      <c r="P70" s="8"/>
      <c r="Q70" s="9" t="n">
        <f aca="false">+PAT!F56+PAT!F68</f>
        <v>4697751</v>
      </c>
      <c r="R70" s="9" t="n">
        <f aca="false">+PAT!G56+PAT!G68+PAT!G78-1</f>
        <v>1651249</v>
      </c>
      <c r="S70" s="10" t="n">
        <f aca="false">+Q70+R70</f>
        <v>6349000</v>
      </c>
      <c r="T70" s="10"/>
      <c r="U70" s="10" t="n">
        <f aca="false">+S70+T70</f>
        <v>6349000</v>
      </c>
    </row>
    <row r="71" customFormat="false" ht="13.8" hidden="false" customHeight="false" outlineLevel="0" collapsed="false">
      <c r="A71" s="8"/>
      <c r="B71" s="8" t="s">
        <v>74</v>
      </c>
      <c r="C71" s="8"/>
      <c r="D71" s="33"/>
      <c r="E71" s="35" t="n">
        <v>74324386</v>
      </c>
      <c r="F71" s="35" t="n">
        <v>14531643</v>
      </c>
      <c r="G71" s="10" t="n">
        <f aca="false">+E71+F71</f>
        <v>88856029</v>
      </c>
      <c r="H71" s="32"/>
      <c r="I71" s="10" t="n">
        <f aca="false">+G71+H71</f>
        <v>88856029</v>
      </c>
      <c r="J71" s="8"/>
      <c r="K71" s="35" t="n">
        <v>38836240.45</v>
      </c>
      <c r="L71" s="35" t="n">
        <v>5815726</v>
      </c>
      <c r="M71" s="10" t="n">
        <f aca="false">+K71+L71</f>
        <v>44651966.45</v>
      </c>
      <c r="N71" s="32"/>
      <c r="O71" s="10" t="n">
        <f aca="false">+M71+N71-1</f>
        <v>44651965.45</v>
      </c>
      <c r="P71" s="8"/>
      <c r="Q71" s="9" t="n">
        <f aca="false">+PAT!F78+PAT!F87+PAT!F101+PAT!F136</f>
        <v>36135934</v>
      </c>
      <c r="R71" s="9" t="n">
        <f aca="false">+PAT!G87+PAT!G136+PAT!G101</f>
        <v>1584690</v>
      </c>
      <c r="S71" s="10" t="n">
        <f aca="false">+Q71+R71</f>
        <v>37720624</v>
      </c>
      <c r="T71" s="10" t="n">
        <f aca="false">+PAT!I136</f>
        <v>-14609377.588252</v>
      </c>
      <c r="U71" s="10" t="n">
        <f aca="false">+S71+T71</f>
        <v>23111246.411748</v>
      </c>
    </row>
    <row r="72" customFormat="false" ht="15" hidden="false" customHeight="false" outlineLevel="0" collapsed="false">
      <c r="A72" s="4" t="s">
        <v>75</v>
      </c>
      <c r="B72" s="8"/>
      <c r="C72" s="8"/>
      <c r="D72" s="8"/>
      <c r="E72" s="19" t="n">
        <f aca="false">SUM(E68:E71)</f>
        <v>99969332</v>
      </c>
      <c r="F72" s="19" t="n">
        <f aca="false">SUM(F68:F71)</f>
        <v>35504940</v>
      </c>
      <c r="G72" s="19" t="n">
        <f aca="false">SUM(G68:G71)</f>
        <v>135474272</v>
      </c>
      <c r="H72" s="19" t="n">
        <f aca="false">SUM(H68:H71)</f>
        <v>0</v>
      </c>
      <c r="I72" s="19" t="n">
        <f aca="false">SUM(I68:I71)</f>
        <v>135474272</v>
      </c>
      <c r="J72" s="8"/>
      <c r="K72" s="19" t="n">
        <f aca="false">SUM(K68:K71)</f>
        <v>88265681.45</v>
      </c>
      <c r="L72" s="19" t="n">
        <f aca="false">SUM(L68:L71)</f>
        <v>21001059</v>
      </c>
      <c r="M72" s="19" t="n">
        <f aca="false">SUM(M68:M71)</f>
        <v>109266740.45</v>
      </c>
      <c r="N72" s="19" t="n">
        <f aca="false">SUM(N68:N71)</f>
        <v>0</v>
      </c>
      <c r="O72" s="19" t="n">
        <f aca="false">SUM(O68:O71)</f>
        <v>109266739.45</v>
      </c>
      <c r="P72" s="8"/>
      <c r="Q72" s="19" t="n">
        <f aca="false">SUM(Q68:Q71)</f>
        <v>70841302</v>
      </c>
      <c r="R72" s="19" t="n">
        <f aca="false">SUM(R68:R71)</f>
        <v>14251502</v>
      </c>
      <c r="S72" s="19" t="n">
        <f aca="false">+Q72+R72</f>
        <v>85092804</v>
      </c>
      <c r="T72" s="19" t="n">
        <f aca="false">SUM(T68:T71)</f>
        <v>-14609377.588252</v>
      </c>
      <c r="U72" s="19" t="n">
        <f aca="false">SUM(U68:U71)</f>
        <v>70483426.411748</v>
      </c>
    </row>
    <row r="73" customFormat="false" ht="15" hidden="false" customHeight="false" outlineLevel="0" collapsed="false">
      <c r="A73" s="4" t="s">
        <v>76</v>
      </c>
      <c r="B73" s="8"/>
      <c r="C73" s="8"/>
      <c r="D73" s="8"/>
      <c r="E73" s="25" t="n">
        <f aca="false">+E72+E65</f>
        <v>225559502</v>
      </c>
      <c r="F73" s="25" t="n">
        <f aca="false">+F72+F65</f>
        <v>82097568</v>
      </c>
      <c r="G73" s="25" t="n">
        <f aca="false">+G72+G65</f>
        <v>307657070</v>
      </c>
      <c r="H73" s="25" t="n">
        <f aca="false">+H72+H65</f>
        <v>0</v>
      </c>
      <c r="I73" s="25" t="n">
        <f aca="false">+I72+I65</f>
        <v>307657070</v>
      </c>
      <c r="J73" s="8"/>
      <c r="K73" s="25" t="n">
        <f aca="false">+K72+K65</f>
        <v>210970049.45</v>
      </c>
      <c r="L73" s="25" t="n">
        <f aca="false">+L72+L65</f>
        <v>45567378</v>
      </c>
      <c r="M73" s="25" t="n">
        <f aca="false">+M72+M65</f>
        <v>256537427.45</v>
      </c>
      <c r="N73" s="25" t="n">
        <f aca="false">+N72+N65</f>
        <v>-34595134</v>
      </c>
      <c r="O73" s="25" t="n">
        <f aca="false">+O72+O65</f>
        <v>221942292.45</v>
      </c>
      <c r="P73" s="8"/>
      <c r="Q73" s="25" t="n">
        <f aca="false">+Q72+Q65</f>
        <v>197414677</v>
      </c>
      <c r="R73" s="25" t="n">
        <f aca="false">+R72+R65</f>
        <v>26165735</v>
      </c>
      <c r="S73" s="25" t="n">
        <f aca="false">+Q73+R73</f>
        <v>223580412</v>
      </c>
      <c r="T73" s="25" t="n">
        <f aca="false">+T65+T72</f>
        <v>-24764395.588252</v>
      </c>
      <c r="U73" s="25" t="n">
        <f aca="false">+U72+U65</f>
        <v>198816016.411748</v>
      </c>
    </row>
    <row r="74" s="36" customFormat="true" ht="11.25" hidden="false" customHeight="false" outlineLevel="0" collapsed="false">
      <c r="E74" s="37" t="n">
        <f aca="false">+E73-E34</f>
        <v>0</v>
      </c>
      <c r="F74" s="37" t="n">
        <f aca="false">+F73-F34</f>
        <v>0</v>
      </c>
      <c r="G74" s="37" t="n">
        <f aca="false">+G73-G34</f>
        <v>0</v>
      </c>
      <c r="H74" s="37" t="n">
        <f aca="false">+H73-H34</f>
        <v>0</v>
      </c>
      <c r="I74" s="37" t="n">
        <f aca="false">+I73-I34</f>
        <v>0</v>
      </c>
      <c r="K74" s="37" t="n">
        <f aca="false">+K73-K34</f>
        <v>0.449999988079071</v>
      </c>
      <c r="L74" s="37" t="n">
        <f aca="false">+L73-L34</f>
        <v>0</v>
      </c>
      <c r="M74" s="37" t="n">
        <f aca="false">+M73-M34</f>
        <v>0.449999988079071</v>
      </c>
      <c r="N74" s="37" t="n">
        <f aca="false">+N73-N34</f>
        <v>9763133.7534</v>
      </c>
      <c r="O74" s="37" t="n">
        <f aca="false">+O73-O34</f>
        <v>9763133.20339999</v>
      </c>
      <c r="Q74" s="37" t="n">
        <f aca="false">+Q73-Q34</f>
        <v>0</v>
      </c>
      <c r="R74" s="37" t="n">
        <f aca="false">+R73-R34</f>
        <v>0</v>
      </c>
      <c r="S74" s="37" t="n">
        <f aca="false">+S73-S34</f>
        <v>0</v>
      </c>
      <c r="T74" s="37" t="n">
        <f aca="false">+T73-T34</f>
        <v>0</v>
      </c>
      <c r="U74" s="37" t="n">
        <f aca="false">+U73-U34</f>
        <v>0</v>
      </c>
    </row>
    <row r="75" customFormat="false" ht="15" hidden="false" customHeight="false" outlineLevel="0" collapsed="false">
      <c r="N75" s="33"/>
    </row>
    <row r="76" customFormat="false" ht="15" hidden="false" customHeight="false" outlineLevel="0" collapsed="false">
      <c r="N76" s="33"/>
    </row>
    <row r="78" customFormat="false" ht="15" hidden="false" customHeight="false" outlineLevel="0" collapsed="false">
      <c r="K78" s="7" t="s">
        <v>77</v>
      </c>
      <c r="L78" s="7"/>
      <c r="M78" s="7"/>
    </row>
    <row r="79" customFormat="false" ht="15" hidden="false" customHeight="false" outlineLevel="0" collapsed="false">
      <c r="K79" s="2" t="s">
        <v>78</v>
      </c>
      <c r="L79" s="2"/>
      <c r="M79" s="2"/>
    </row>
  </sheetData>
  <mergeCells count="1">
    <mergeCell ref="A20:C20"/>
  </mergeCells>
  <printOptions headings="false" gridLines="false" gridLinesSet="true" horizontalCentered="false" verticalCentered="false"/>
  <pageMargins left="0.7" right="0.7" top="0.75" bottom="0.75" header="0.511805555555555" footer="0.511805555555555"/>
  <pageSetup paperSize="1" scale="7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21"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5"/>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pane xSplit="3" ySplit="5" topLeftCell="D29" activePane="bottomRight" state="frozen"/>
      <selection pane="topLeft" activeCell="A1" activeCellId="0" sqref="A1"/>
      <selection pane="topRight" activeCell="D1" activeCellId="0" sqref="D1"/>
      <selection pane="bottomLeft" activeCell="A29" activeCellId="0" sqref="A29"/>
      <selection pane="bottomRight" activeCell="D5" activeCellId="0" sqref="D5"/>
    </sheetView>
  </sheetViews>
  <sheetFormatPr defaultColWidth="11.48828125" defaultRowHeight="15" zeroHeight="false" outlineLevelRow="1" outlineLevelCol="0"/>
  <cols>
    <col collapsed="false" customWidth="true" hidden="false" outlineLevel="0" max="1" min="1" style="0" width="2.71"/>
    <col collapsed="false" customWidth="true" hidden="false" outlineLevel="0" max="2" min="2" style="0" width="28.42"/>
    <col collapsed="false" customWidth="true" hidden="false" outlineLevel="0" max="3" min="3" style="0" width="7.15"/>
    <col collapsed="false" customWidth="true" hidden="false" outlineLevel="0" max="4" min="4" style="0" width="13.29"/>
    <col collapsed="false" customWidth="true" hidden="false" outlineLevel="0" max="5" min="5" style="0" width="13.14"/>
    <col collapsed="false" customWidth="true" hidden="false" outlineLevel="0" max="6" min="6" style="0" width="13.29"/>
    <col collapsed="false" customWidth="true" hidden="false" outlineLevel="0" max="7" min="7" style="0" width="12.29"/>
    <col collapsed="false" customWidth="true" hidden="false" outlineLevel="0" max="8" min="8" style="0" width="13.7"/>
    <col collapsed="false" customWidth="true" hidden="false" outlineLevel="0" max="9" min="9" style="0" width="1.85"/>
    <col collapsed="false" customWidth="true" hidden="false" outlineLevel="0" max="10" min="10" style="0" width="13.43"/>
    <col collapsed="false" customWidth="true" hidden="false" outlineLevel="0" max="11" min="11" style="0" width="14.15"/>
    <col collapsed="false" customWidth="true" hidden="false" outlineLevel="0" max="12" min="12" style="0" width="14.43"/>
    <col collapsed="false" customWidth="true" hidden="false" outlineLevel="0" max="13" min="13" style="0" width="14.15"/>
    <col collapsed="false" customWidth="true" hidden="false" outlineLevel="0" max="14" min="14" style="0" width="15.57"/>
    <col collapsed="false" customWidth="true" hidden="true" outlineLevel="0" max="15" min="15" style="0" width="7.15"/>
    <col collapsed="false" customWidth="true" hidden="true" outlineLevel="0" max="16" min="16" style="0" width="13.29"/>
    <col collapsed="false" customWidth="true" hidden="true" outlineLevel="0" max="17" min="17" style="0" width="13.14"/>
    <col collapsed="false" customWidth="true" hidden="true" outlineLevel="0" max="18" min="18" style="0" width="13.29"/>
    <col collapsed="false" customWidth="true" hidden="true" outlineLevel="0" max="19" min="19" style="0" width="12.29"/>
    <col collapsed="false" customWidth="true" hidden="true" outlineLevel="0" max="20" min="20" style="0" width="13.7"/>
    <col collapsed="false" customWidth="true" hidden="true" outlineLevel="0" max="21" min="21" style="0" width="1.85"/>
    <col collapsed="false" customWidth="true" hidden="true" outlineLevel="0" max="22" min="22" style="0" width="12.71"/>
    <col collapsed="false" customWidth="true" hidden="false" outlineLevel="0" max="23" min="23" style="0" width="12.29"/>
    <col collapsed="false" customWidth="true" hidden="false" outlineLevel="0" max="24" min="24" style="0" width="12.71"/>
    <col collapsed="false" customWidth="true" hidden="false" outlineLevel="0" max="25" min="25" style="0" width="12.29"/>
  </cols>
  <sheetData>
    <row r="1" customFormat="false" ht="15" hidden="false" customHeight="false" outlineLevel="0" collapsed="false">
      <c r="A1" s="3" t="s">
        <v>12</v>
      </c>
    </row>
    <row r="2" customFormat="false" ht="15" hidden="false" customHeight="false" outlineLevel="0" collapsed="false">
      <c r="A2" s="4" t="s">
        <v>79</v>
      </c>
    </row>
    <row r="3" customFormat="false" ht="15" hidden="false" customHeight="false" outlineLevel="0" collapsed="false">
      <c r="A3" s="4" t="s">
        <v>13</v>
      </c>
      <c r="D3" s="26"/>
      <c r="E3" s="38"/>
      <c r="F3" s="38"/>
      <c r="G3" s="38"/>
      <c r="H3" s="38"/>
      <c r="P3" s="26"/>
      <c r="Q3" s="38"/>
      <c r="R3" s="38"/>
      <c r="S3" s="38"/>
      <c r="T3" s="38"/>
    </row>
    <row r="4" customFormat="false" ht="15" hidden="false" customHeight="false" outlineLevel="0" collapsed="false">
      <c r="A4" s="8" t="s">
        <v>14</v>
      </c>
      <c r="D4" s="10"/>
      <c r="E4" s="18"/>
      <c r="F4" s="18"/>
      <c r="G4" s="39" t="s">
        <v>15</v>
      </c>
      <c r="H4" s="39" t="n">
        <v>2020</v>
      </c>
      <c r="J4" s="6"/>
      <c r="K4" s="17"/>
      <c r="L4" s="17"/>
      <c r="M4" s="40" t="s">
        <v>15</v>
      </c>
      <c r="N4" s="40" t="n">
        <v>2019</v>
      </c>
      <c r="P4" s="10"/>
      <c r="Q4" s="18"/>
      <c r="R4" s="18"/>
      <c r="S4" s="39" t="s">
        <v>15</v>
      </c>
      <c r="T4" s="39" t="n">
        <v>2017</v>
      </c>
    </row>
    <row r="5" customFormat="false" ht="15" hidden="false" customHeight="false" outlineLevel="0" collapsed="false">
      <c r="D5" s="14" t="s">
        <v>16</v>
      </c>
      <c r="E5" s="41" t="s">
        <v>17</v>
      </c>
      <c r="F5" s="41" t="s">
        <v>18</v>
      </c>
      <c r="G5" s="42" t="s">
        <v>80</v>
      </c>
      <c r="H5" s="41" t="s">
        <v>20</v>
      </c>
      <c r="J5" s="14" t="s">
        <v>16</v>
      </c>
      <c r="K5" s="41" t="s">
        <v>17</v>
      </c>
      <c r="L5" s="41" t="s">
        <v>18</v>
      </c>
      <c r="M5" s="41" t="s">
        <v>80</v>
      </c>
      <c r="N5" s="41" t="s">
        <v>20</v>
      </c>
      <c r="P5" s="14" t="s">
        <v>16</v>
      </c>
      <c r="Q5" s="41" t="s">
        <v>17</v>
      </c>
      <c r="R5" s="41" t="s">
        <v>18</v>
      </c>
      <c r="S5" s="42" t="s">
        <v>80</v>
      </c>
      <c r="T5" s="41" t="s">
        <v>20</v>
      </c>
    </row>
    <row r="6" customFormat="false" ht="15" hidden="false" customHeight="false" outlineLevel="0" collapsed="false">
      <c r="D6" s="10"/>
      <c r="E6" s="18"/>
      <c r="F6" s="18"/>
      <c r="G6" s="18"/>
      <c r="H6" s="18"/>
      <c r="J6" s="10"/>
      <c r="K6" s="18"/>
      <c r="L6" s="18"/>
      <c r="M6" s="18"/>
      <c r="N6" s="18"/>
      <c r="P6" s="10"/>
      <c r="Q6" s="18"/>
      <c r="R6" s="18"/>
      <c r="S6" s="18"/>
      <c r="T6" s="18"/>
    </row>
    <row r="7" customFormat="false" ht="13.8" hidden="false" customHeight="false" outlineLevel="0" collapsed="false">
      <c r="A7" s="0" t="s">
        <v>81</v>
      </c>
      <c r="D7" s="10" t="n">
        <v>205835336</v>
      </c>
      <c r="E7" s="10" t="n">
        <v>174788764</v>
      </c>
      <c r="F7" s="10" t="n">
        <f aca="false">+D7+E7</f>
        <v>380624100</v>
      </c>
      <c r="G7" s="10"/>
      <c r="H7" s="10" t="n">
        <f aca="false">+F7+G7</f>
        <v>380624100</v>
      </c>
      <c r="J7" s="10" t="n">
        <v>189089112</v>
      </c>
      <c r="K7" s="10" t="n">
        <v>136513946</v>
      </c>
      <c r="L7" s="10" t="n">
        <f aca="false">+J7+K7</f>
        <v>325603058</v>
      </c>
      <c r="M7" s="10" t="n">
        <f aca="false">-AD!I7-AD!I22</f>
        <v>-93140935</v>
      </c>
      <c r="N7" s="10" t="n">
        <f aca="false">+L7+M7</f>
        <v>232462123</v>
      </c>
      <c r="P7" s="10" t="n">
        <v>152924768</v>
      </c>
      <c r="Q7" s="10" t="n">
        <v>73699302</v>
      </c>
      <c r="R7" s="10" t="n">
        <f aca="false">+P7+Q7</f>
        <v>226624070</v>
      </c>
      <c r="S7" s="10" t="n">
        <f aca="false">-AD!M7-AD!M22</f>
        <v>-52109713</v>
      </c>
      <c r="T7" s="10" t="n">
        <f aca="false">+R7+S7</f>
        <v>174514357</v>
      </c>
    </row>
    <row r="8" customFormat="false" ht="13.8" hidden="false" customHeight="false" outlineLevel="0" collapsed="false">
      <c r="A8" s="0" t="s">
        <v>82</v>
      </c>
      <c r="D8" s="10" t="n">
        <v>-93427191</v>
      </c>
      <c r="E8" s="10" t="n">
        <v>-128080645</v>
      </c>
      <c r="F8" s="10" t="n">
        <f aca="false">+D8+E8</f>
        <v>-221507836</v>
      </c>
      <c r="G8" s="10"/>
      <c r="H8" s="10" t="n">
        <f aca="false">+F8+G8</f>
        <v>-221507836</v>
      </c>
      <c r="J8" s="10" t="n">
        <v>-119055718</v>
      </c>
      <c r="K8" s="10" t="n">
        <v>-104336370</v>
      </c>
      <c r="L8" s="10" t="n">
        <f aca="false">+J8+K8</f>
        <v>-223392088</v>
      </c>
      <c r="M8" s="10" t="n">
        <f aca="false">+AD!J9+AD!J24+AD!J41</f>
        <v>94574016</v>
      </c>
      <c r="N8" s="10" t="n">
        <f aca="false">+L8+M8</f>
        <v>-128818072</v>
      </c>
      <c r="P8" s="10" t="n">
        <v>-71809934</v>
      </c>
      <c r="Q8" s="10" t="n">
        <v>-55517093</v>
      </c>
      <c r="R8" s="10" t="n">
        <f aca="false">+P8+Q8</f>
        <v>-127327027</v>
      </c>
      <c r="S8" s="10" t="n">
        <f aca="false">+AD!N9+AD!N24+AD!N41</f>
        <v>53367742</v>
      </c>
      <c r="T8" s="10" t="n">
        <f aca="false">+R8+S8</f>
        <v>-73959285</v>
      </c>
    </row>
    <row r="9" customFormat="false" ht="13.8" hidden="false" customHeight="false" outlineLevel="0" collapsed="false">
      <c r="A9" s="0" t="s">
        <v>83</v>
      </c>
      <c r="D9" s="19" t="n">
        <f aca="false">+D7+D8</f>
        <v>112408145</v>
      </c>
      <c r="E9" s="19" t="n">
        <f aca="false">+E7+E8</f>
        <v>46708119</v>
      </c>
      <c r="F9" s="19" t="n">
        <f aca="false">+F7+F8</f>
        <v>159116264</v>
      </c>
      <c r="G9" s="19" t="n">
        <f aca="false">+G7+G8</f>
        <v>0</v>
      </c>
      <c r="H9" s="19" t="n">
        <f aca="false">+H7+H8</f>
        <v>159116264</v>
      </c>
      <c r="J9" s="19" t="n">
        <f aca="false">+J7+J8</f>
        <v>70033394</v>
      </c>
      <c r="K9" s="19" t="n">
        <f aca="false">+K7+K8</f>
        <v>32177576</v>
      </c>
      <c r="L9" s="19" t="n">
        <f aca="false">+L7+L8</f>
        <v>102210970</v>
      </c>
      <c r="M9" s="19" t="n">
        <f aca="false">+M7+M8</f>
        <v>1433081</v>
      </c>
      <c r="N9" s="19" t="n">
        <f aca="false">+N7+N8</f>
        <v>103644051</v>
      </c>
      <c r="P9" s="19" t="n">
        <f aca="false">+P7+P8</f>
        <v>81114834</v>
      </c>
      <c r="Q9" s="19" t="n">
        <f aca="false">+Q7+Q8</f>
        <v>18182209</v>
      </c>
      <c r="R9" s="19" t="n">
        <f aca="false">+R7+R8</f>
        <v>99297043</v>
      </c>
      <c r="S9" s="19" t="n">
        <f aca="false">+S7+S8</f>
        <v>1258029</v>
      </c>
      <c r="T9" s="19" t="n">
        <f aca="false">+T7+T8</f>
        <v>100555072</v>
      </c>
    </row>
    <row r="10" customFormat="false" ht="15" hidden="false" customHeight="false" outlineLevel="0" collapsed="false">
      <c r="D10" s="10"/>
      <c r="E10" s="10"/>
      <c r="F10" s="10"/>
      <c r="G10" s="10"/>
      <c r="H10" s="10"/>
      <c r="J10" s="10"/>
      <c r="K10" s="10"/>
      <c r="L10" s="10"/>
      <c r="M10" s="10"/>
      <c r="N10" s="10"/>
      <c r="P10" s="10"/>
      <c r="Q10" s="10"/>
      <c r="R10" s="10"/>
      <c r="S10" s="10"/>
      <c r="T10" s="10"/>
    </row>
    <row r="11" customFormat="false" ht="13.8" hidden="false" customHeight="false" outlineLevel="0" collapsed="false">
      <c r="A11" s="0" t="s">
        <v>84</v>
      </c>
      <c r="D11" s="10" t="n">
        <v>-80529826</v>
      </c>
      <c r="E11" s="10" t="n">
        <v>-27675371</v>
      </c>
      <c r="F11" s="10" t="n">
        <f aca="false">+D11+E11</f>
        <v>-108205197</v>
      </c>
      <c r="G11" s="10"/>
      <c r="H11" s="25" t="n">
        <f aca="false">+F11+G11</f>
        <v>-108205197</v>
      </c>
      <c r="J11" s="25" t="n">
        <v>-41266215</v>
      </c>
      <c r="K11" s="25" t="n">
        <v>-20672565</v>
      </c>
      <c r="L11" s="43" t="n">
        <f aca="false">+J11+K11</f>
        <v>-61938780</v>
      </c>
      <c r="M11" s="25"/>
      <c r="N11" s="25" t="n">
        <f aca="false">+L11+M11</f>
        <v>-61938780</v>
      </c>
      <c r="P11" s="10" t="n">
        <v>-63291970</v>
      </c>
      <c r="Q11" s="10" t="n">
        <v>-14726048</v>
      </c>
      <c r="R11" s="10" t="n">
        <f aca="false">+P11+Q11</f>
        <v>-78018018</v>
      </c>
      <c r="S11" s="10"/>
      <c r="T11" s="25" t="n">
        <f aca="false">+R11+S11</f>
        <v>-78018018</v>
      </c>
    </row>
    <row r="12" customFormat="false" ht="15" hidden="true" customHeight="false" outlineLevel="1" collapsed="false">
      <c r="A12" s="0" t="s">
        <v>85</v>
      </c>
      <c r="D12" s="10"/>
      <c r="E12" s="10"/>
      <c r="F12" s="10" t="n">
        <f aca="false">+D12+E12</f>
        <v>0</v>
      </c>
      <c r="G12" s="10"/>
      <c r="H12" s="10" t="n">
        <f aca="false">+F12+G12</f>
        <v>0</v>
      </c>
      <c r="J12" s="10"/>
      <c r="K12" s="10"/>
      <c r="L12" s="10"/>
      <c r="M12" s="10"/>
      <c r="N12" s="10" t="n">
        <f aca="false">+L12+M12</f>
        <v>0</v>
      </c>
      <c r="P12" s="10"/>
      <c r="Q12" s="10"/>
      <c r="R12" s="10" t="n">
        <f aca="false">+P12+Q12</f>
        <v>0</v>
      </c>
      <c r="S12" s="10"/>
      <c r="T12" s="10" t="n">
        <f aca="false">+R12+S12</f>
        <v>0</v>
      </c>
    </row>
    <row r="13" customFormat="false" ht="15" hidden="true" customHeight="false" outlineLevel="1" collapsed="false">
      <c r="A13" s="0" t="s">
        <v>86</v>
      </c>
      <c r="D13" s="10"/>
      <c r="E13" s="10"/>
      <c r="F13" s="10" t="n">
        <f aca="false">+D13+E13</f>
        <v>0</v>
      </c>
      <c r="G13" s="10"/>
      <c r="H13" s="10" t="n">
        <f aca="false">+F13+G13</f>
        <v>0</v>
      </c>
      <c r="J13" s="10"/>
      <c r="K13" s="10"/>
      <c r="L13" s="10"/>
      <c r="M13" s="10"/>
      <c r="N13" s="10" t="n">
        <f aca="false">+L13+M13</f>
        <v>0</v>
      </c>
      <c r="P13" s="10"/>
      <c r="Q13" s="10"/>
      <c r="R13" s="10" t="n">
        <f aca="false">+P13+Q13</f>
        <v>0</v>
      </c>
      <c r="S13" s="10"/>
      <c r="T13" s="10" t="n">
        <f aca="false">+R13+S13</f>
        <v>0</v>
      </c>
    </row>
    <row r="14" customFormat="false" ht="15" hidden="true" customHeight="false" outlineLevel="1" collapsed="false">
      <c r="A14" s="0" t="s">
        <v>87</v>
      </c>
      <c r="D14" s="10"/>
      <c r="E14" s="10"/>
      <c r="F14" s="10" t="n">
        <f aca="false">+D14+E14</f>
        <v>0</v>
      </c>
      <c r="G14" s="10"/>
      <c r="H14" s="10" t="n">
        <f aca="false">+F14+G14</f>
        <v>0</v>
      </c>
      <c r="J14" s="10"/>
      <c r="K14" s="10"/>
      <c r="L14" s="10"/>
      <c r="M14" s="10"/>
      <c r="N14" s="10" t="n">
        <f aca="false">+L14+M14</f>
        <v>0</v>
      </c>
      <c r="P14" s="10"/>
      <c r="Q14" s="10"/>
      <c r="R14" s="10" t="n">
        <f aca="false">+P14+Q14</f>
        <v>0</v>
      </c>
      <c r="S14" s="10"/>
      <c r="T14" s="10" t="n">
        <f aca="false">+R14+S14</f>
        <v>0</v>
      </c>
    </row>
    <row r="15" customFormat="false" ht="15" hidden="true" customHeight="false" outlineLevel="1" collapsed="false">
      <c r="A15" s="0" t="s">
        <v>88</v>
      </c>
      <c r="D15" s="10"/>
      <c r="E15" s="10"/>
      <c r="F15" s="10" t="n">
        <f aca="false">+D15+E15</f>
        <v>0</v>
      </c>
      <c r="G15" s="10"/>
      <c r="H15" s="10" t="n">
        <f aca="false">+F15+G15</f>
        <v>0</v>
      </c>
      <c r="J15" s="10"/>
      <c r="K15" s="10"/>
      <c r="L15" s="10"/>
      <c r="M15" s="10"/>
      <c r="N15" s="10" t="n">
        <f aca="false">+L15+M15</f>
        <v>0</v>
      </c>
      <c r="P15" s="10"/>
      <c r="Q15" s="10"/>
      <c r="R15" s="10" t="n">
        <f aca="false">+P15+Q15</f>
        <v>0</v>
      </c>
      <c r="S15" s="10"/>
      <c r="T15" s="10" t="n">
        <f aca="false">+R15+S15</f>
        <v>0</v>
      </c>
    </row>
    <row r="16" customFormat="false" ht="15" hidden="true" customHeight="false" outlineLevel="1" collapsed="false">
      <c r="A16" s="0" t="s">
        <v>89</v>
      </c>
      <c r="D16" s="10"/>
      <c r="E16" s="10"/>
      <c r="F16" s="10" t="n">
        <f aca="false">+D16+E16</f>
        <v>0</v>
      </c>
      <c r="G16" s="10"/>
      <c r="H16" s="10" t="n">
        <f aca="false">+F16+G16</f>
        <v>0</v>
      </c>
      <c r="J16" s="10"/>
      <c r="K16" s="10"/>
      <c r="L16" s="10"/>
      <c r="M16" s="10"/>
      <c r="N16" s="10" t="n">
        <f aca="false">+L16+M16</f>
        <v>0</v>
      </c>
      <c r="P16" s="10"/>
      <c r="Q16" s="10"/>
      <c r="R16" s="10" t="n">
        <f aca="false">+P16+Q16</f>
        <v>0</v>
      </c>
      <c r="S16" s="10"/>
      <c r="T16" s="10" t="n">
        <f aca="false">+R16+S16</f>
        <v>0</v>
      </c>
    </row>
    <row r="17" customFormat="false" ht="15" hidden="true" customHeight="false" outlineLevel="1" collapsed="false">
      <c r="A17" s="0" t="s">
        <v>90</v>
      </c>
      <c r="D17" s="10"/>
      <c r="E17" s="10"/>
      <c r="F17" s="10" t="n">
        <f aca="false">+D17+E17</f>
        <v>0</v>
      </c>
      <c r="G17" s="10"/>
      <c r="H17" s="10" t="n">
        <f aca="false">+F17+G17</f>
        <v>0</v>
      </c>
      <c r="J17" s="10"/>
      <c r="K17" s="10"/>
      <c r="L17" s="10"/>
      <c r="M17" s="10"/>
      <c r="N17" s="10" t="n">
        <f aca="false">+L17+M17</f>
        <v>0</v>
      </c>
      <c r="P17" s="10"/>
      <c r="Q17" s="10"/>
      <c r="R17" s="10" t="n">
        <f aca="false">+P17+Q17</f>
        <v>0</v>
      </c>
      <c r="S17" s="10"/>
      <c r="T17" s="10" t="n">
        <f aca="false">+R17+S17</f>
        <v>0</v>
      </c>
    </row>
    <row r="18" customFormat="false" ht="15" hidden="true" customHeight="false" outlineLevel="1" collapsed="false">
      <c r="A18" s="0" t="s">
        <v>91</v>
      </c>
      <c r="D18" s="10"/>
      <c r="E18" s="10"/>
      <c r="F18" s="10" t="n">
        <f aca="false">+D18+E18</f>
        <v>0</v>
      </c>
      <c r="G18" s="10"/>
      <c r="H18" s="10" t="n">
        <f aca="false">+F18+G18</f>
        <v>0</v>
      </c>
      <c r="J18" s="10"/>
      <c r="K18" s="10"/>
      <c r="L18" s="10"/>
      <c r="M18" s="10"/>
      <c r="N18" s="10" t="n">
        <f aca="false">+L18+M18</f>
        <v>0</v>
      </c>
      <c r="P18" s="10"/>
      <c r="Q18" s="10"/>
      <c r="R18" s="10" t="n">
        <f aca="false">+P18+Q18</f>
        <v>0</v>
      </c>
      <c r="S18" s="10"/>
      <c r="T18" s="10" t="n">
        <f aca="false">+R18+S18</f>
        <v>0</v>
      </c>
    </row>
    <row r="19" customFormat="false" ht="15" hidden="true" customHeight="false" outlineLevel="1" collapsed="false">
      <c r="A19" s="0" t="s">
        <v>92</v>
      </c>
      <c r="D19" s="10"/>
      <c r="E19" s="10"/>
      <c r="F19" s="10" t="n">
        <f aca="false">+D19+E19</f>
        <v>0</v>
      </c>
      <c r="G19" s="10"/>
      <c r="H19" s="10" t="n">
        <f aca="false">+F19+G19</f>
        <v>0</v>
      </c>
      <c r="J19" s="10"/>
      <c r="K19" s="10"/>
      <c r="L19" s="10"/>
      <c r="M19" s="10"/>
      <c r="N19" s="10" t="n">
        <f aca="false">+L19+M19</f>
        <v>0</v>
      </c>
      <c r="P19" s="10"/>
      <c r="Q19" s="10"/>
      <c r="R19" s="10" t="n">
        <f aca="false">+P19+Q19</f>
        <v>0</v>
      </c>
      <c r="S19" s="10"/>
      <c r="T19" s="10" t="n">
        <f aca="false">+R19+S19</f>
        <v>0</v>
      </c>
    </row>
    <row r="20" customFormat="false" ht="15" hidden="true" customHeight="false" outlineLevel="1" collapsed="false">
      <c r="A20" s="0" t="s">
        <v>93</v>
      </c>
      <c r="D20" s="10"/>
      <c r="E20" s="10"/>
      <c r="F20" s="10" t="n">
        <f aca="false">+D20+E20</f>
        <v>0</v>
      </c>
      <c r="G20" s="10"/>
      <c r="H20" s="10" t="n">
        <f aca="false">+F20+G20</f>
        <v>0</v>
      </c>
      <c r="J20" s="10"/>
      <c r="K20" s="10"/>
      <c r="L20" s="10"/>
      <c r="M20" s="10"/>
      <c r="N20" s="10" t="n">
        <f aca="false">+L20+M20</f>
        <v>0</v>
      </c>
      <c r="P20" s="10"/>
      <c r="Q20" s="10"/>
      <c r="R20" s="10" t="n">
        <f aca="false">+P20+Q20</f>
        <v>0</v>
      </c>
      <c r="S20" s="10"/>
      <c r="T20" s="10" t="n">
        <f aca="false">+R20+S20</f>
        <v>0</v>
      </c>
    </row>
    <row r="21" customFormat="false" ht="15" hidden="true" customHeight="false" outlineLevel="1" collapsed="false">
      <c r="A21" s="0" t="s">
        <v>94</v>
      </c>
      <c r="D21" s="10"/>
      <c r="E21" s="10"/>
      <c r="F21" s="10" t="n">
        <f aca="false">+D21+E21</f>
        <v>0</v>
      </c>
      <c r="G21" s="10"/>
      <c r="H21" s="10" t="n">
        <f aca="false">+F21+G21</f>
        <v>0</v>
      </c>
      <c r="J21" s="10"/>
      <c r="K21" s="10"/>
      <c r="L21" s="10"/>
      <c r="M21" s="10"/>
      <c r="N21" s="10" t="n">
        <f aca="false">+L21+M21</f>
        <v>0</v>
      </c>
      <c r="P21" s="10"/>
      <c r="Q21" s="10"/>
      <c r="R21" s="10" t="n">
        <f aca="false">+P21+Q21</f>
        <v>0</v>
      </c>
      <c r="S21" s="10"/>
      <c r="T21" s="10" t="n">
        <f aca="false">+R21+S21</f>
        <v>0</v>
      </c>
    </row>
    <row r="22" customFormat="false" ht="15" hidden="true" customHeight="false" outlineLevel="1" collapsed="false">
      <c r="A22" s="0" t="s">
        <v>95</v>
      </c>
      <c r="D22" s="10"/>
      <c r="E22" s="10"/>
      <c r="F22" s="10" t="n">
        <f aca="false">+D22+E22</f>
        <v>0</v>
      </c>
      <c r="G22" s="10"/>
      <c r="H22" s="10" t="n">
        <f aca="false">+F22+G22</f>
        <v>0</v>
      </c>
      <c r="J22" s="10"/>
      <c r="K22" s="10"/>
      <c r="L22" s="10"/>
      <c r="M22" s="10"/>
      <c r="N22" s="10" t="n">
        <f aca="false">+L22+M22</f>
        <v>0</v>
      </c>
      <c r="P22" s="10"/>
      <c r="Q22" s="10"/>
      <c r="R22" s="10" t="n">
        <f aca="false">+P22+Q22</f>
        <v>0</v>
      </c>
      <c r="S22" s="10"/>
      <c r="T22" s="10" t="n">
        <f aca="false">+R22+S22</f>
        <v>0</v>
      </c>
    </row>
    <row r="23" customFormat="false" ht="15" hidden="true" customHeight="false" outlineLevel="1" collapsed="false">
      <c r="A23" s="0" t="s">
        <v>96</v>
      </c>
      <c r="D23" s="10"/>
      <c r="E23" s="10"/>
      <c r="F23" s="10" t="n">
        <f aca="false">+D23+E23</f>
        <v>0</v>
      </c>
      <c r="G23" s="10"/>
      <c r="H23" s="10" t="n">
        <f aca="false">+F23+G23</f>
        <v>0</v>
      </c>
      <c r="J23" s="10"/>
      <c r="K23" s="10"/>
      <c r="L23" s="10"/>
      <c r="M23" s="10"/>
      <c r="N23" s="10" t="n">
        <f aca="false">+L23+M23</f>
        <v>0</v>
      </c>
      <c r="P23" s="10"/>
      <c r="Q23" s="10"/>
      <c r="R23" s="10" t="n">
        <f aca="false">+P23+Q23</f>
        <v>0</v>
      </c>
      <c r="S23" s="10"/>
      <c r="T23" s="10" t="n">
        <f aca="false">+R23+S23</f>
        <v>0</v>
      </c>
    </row>
    <row r="24" customFormat="false" ht="15" hidden="true" customHeight="false" outlineLevel="1" collapsed="false">
      <c r="A24" s="0" t="s">
        <v>97</v>
      </c>
      <c r="D24" s="10"/>
      <c r="E24" s="10"/>
      <c r="F24" s="10" t="n">
        <f aca="false">+D24+E24</f>
        <v>0</v>
      </c>
      <c r="G24" s="10"/>
      <c r="H24" s="10" t="n">
        <f aca="false">+F24+G24</f>
        <v>0</v>
      </c>
      <c r="J24" s="10"/>
      <c r="K24" s="10"/>
      <c r="L24" s="10"/>
      <c r="M24" s="10"/>
      <c r="N24" s="10" t="n">
        <f aca="false">+L24+M24</f>
        <v>0</v>
      </c>
      <c r="P24" s="10"/>
      <c r="Q24" s="10"/>
      <c r="R24" s="10" t="n">
        <f aca="false">+P24+Q24</f>
        <v>0</v>
      </c>
      <c r="S24" s="10"/>
      <c r="T24" s="10" t="n">
        <f aca="false">+R24+S24</f>
        <v>0</v>
      </c>
    </row>
    <row r="25" customFormat="false" ht="13.8" hidden="false" customHeight="false" outlineLevel="0" collapsed="false">
      <c r="A25" s="0" t="s">
        <v>98</v>
      </c>
      <c r="D25" s="6" t="n">
        <f aca="false">D11</f>
        <v>-80529826</v>
      </c>
      <c r="E25" s="6" t="n">
        <f aca="false">E11</f>
        <v>-27675371</v>
      </c>
      <c r="F25" s="6" t="n">
        <f aca="false">+D25+E25</f>
        <v>-108205197</v>
      </c>
      <c r="G25" s="6" t="n">
        <f aca="false">SUM(G12:G24)</f>
        <v>0</v>
      </c>
      <c r="H25" s="10" t="n">
        <f aca="false">+F25+G25</f>
        <v>-108205197</v>
      </c>
      <c r="J25" s="10" t="n">
        <f aca="false">J11</f>
        <v>-41266215</v>
      </c>
      <c r="K25" s="10" t="n">
        <f aca="false">K11</f>
        <v>-20672565</v>
      </c>
      <c r="L25" s="10" t="n">
        <f aca="false">+J25+K25</f>
        <v>-61938780</v>
      </c>
      <c r="M25" s="6" t="n">
        <v>0</v>
      </c>
      <c r="N25" s="10" t="n">
        <f aca="false">+L25+M25</f>
        <v>-61938780</v>
      </c>
      <c r="P25" s="6" t="n">
        <f aca="false">P11</f>
        <v>-63291970</v>
      </c>
      <c r="Q25" s="6" t="n">
        <f aca="false">Q11</f>
        <v>-14726048</v>
      </c>
      <c r="R25" s="6" t="n">
        <f aca="false">+P25+Q25</f>
        <v>-78018018</v>
      </c>
      <c r="S25" s="6" t="n">
        <f aca="false">SUM(S12:S24)</f>
        <v>0</v>
      </c>
      <c r="T25" s="10" t="n">
        <f aca="false">+R25+S25</f>
        <v>-78018018</v>
      </c>
    </row>
    <row r="26" customFormat="false" ht="15" hidden="false" customHeight="false" outlineLevel="0" collapsed="false">
      <c r="D26" s="10"/>
      <c r="E26" s="10"/>
      <c r="F26" s="10"/>
      <c r="G26" s="10"/>
      <c r="H26" s="10" t="n">
        <f aca="false">+F26+G26</f>
        <v>0</v>
      </c>
      <c r="J26" s="10"/>
      <c r="K26" s="10"/>
      <c r="L26" s="10"/>
      <c r="M26" s="10"/>
      <c r="N26" s="10" t="n">
        <f aca="false">+L26+M26</f>
        <v>0</v>
      </c>
      <c r="P26" s="10"/>
      <c r="Q26" s="10"/>
      <c r="R26" s="10"/>
      <c r="S26" s="10"/>
      <c r="T26" s="10" t="n">
        <f aca="false">+R26+S26</f>
        <v>0</v>
      </c>
    </row>
    <row r="27" customFormat="false" ht="15" hidden="true" customHeight="false" outlineLevel="0" collapsed="false">
      <c r="A27" s="0" t="s">
        <v>99</v>
      </c>
      <c r="D27" s="8"/>
      <c r="E27" s="10"/>
      <c r="F27" s="10" t="n">
        <f aca="false">+D27+E27</f>
        <v>0</v>
      </c>
      <c r="G27" s="10"/>
      <c r="H27" s="10" t="n">
        <f aca="false">+F27+G27</f>
        <v>0</v>
      </c>
      <c r="J27" s="8"/>
      <c r="K27" s="10"/>
      <c r="L27" s="10" t="n">
        <f aca="false">+J27+K27</f>
        <v>0</v>
      </c>
      <c r="M27" s="10"/>
      <c r="N27" s="10" t="n">
        <f aca="false">+L27+M27</f>
        <v>0</v>
      </c>
      <c r="P27" s="8"/>
      <c r="Q27" s="10"/>
      <c r="R27" s="10" t="n">
        <f aca="false">+P27+Q27</f>
        <v>0</v>
      </c>
      <c r="S27" s="10"/>
      <c r="T27" s="10" t="n">
        <f aca="false">+R27+S27</f>
        <v>0</v>
      </c>
    </row>
    <row r="28" customFormat="false" ht="13.8" hidden="false" customHeight="false" outlineLevel="0" collapsed="false">
      <c r="A28" s="0" t="s">
        <v>100</v>
      </c>
      <c r="D28" s="10" t="n">
        <v>-502143</v>
      </c>
      <c r="E28" s="10" t="n">
        <v>1386241</v>
      </c>
      <c r="F28" s="10" t="n">
        <f aca="false">+D28+E28</f>
        <v>884098</v>
      </c>
      <c r="G28" s="10"/>
      <c r="H28" s="10" t="n">
        <f aca="false">+F28+G28</f>
        <v>884098</v>
      </c>
      <c r="J28" s="10" t="n">
        <v>53527</v>
      </c>
      <c r="K28" s="10" t="n">
        <v>451754</v>
      </c>
      <c r="L28" s="10" t="n">
        <f aca="false">+J28+K28</f>
        <v>505281</v>
      </c>
      <c r="M28" s="10" t="n">
        <f aca="false">+AD!J48+AD!J16</f>
        <v>687293</v>
      </c>
      <c r="N28" s="10" t="n">
        <f aca="false">+L28+M28</f>
        <v>1192574</v>
      </c>
      <c r="P28" s="10" t="n">
        <v>-3618624</v>
      </c>
      <c r="Q28" s="10" t="n">
        <f aca="false">-85300+344362</f>
        <v>259062</v>
      </c>
      <c r="R28" s="10" t="n">
        <f aca="false">+P28+Q28</f>
        <v>-3359562</v>
      </c>
      <c r="S28" s="10" t="n">
        <f aca="false">-AD!M16</f>
        <v>-12940</v>
      </c>
      <c r="T28" s="10" t="n">
        <f aca="false">+R28+S28</f>
        <v>-3372502</v>
      </c>
    </row>
    <row r="29" customFormat="false" ht="13.8" hidden="false" customHeight="false" outlineLevel="0" collapsed="false">
      <c r="A29" s="0" t="s">
        <v>101</v>
      </c>
      <c r="D29" s="19" t="n">
        <f aca="false">+D9+D25+D27+D28</f>
        <v>31376176</v>
      </c>
      <c r="E29" s="19" t="n">
        <f aca="false">+E9+E25+E27+E28</f>
        <v>20418989</v>
      </c>
      <c r="F29" s="19" t="n">
        <f aca="false">+F9+F25+F27+F28</f>
        <v>51795165</v>
      </c>
      <c r="G29" s="19" t="n">
        <f aca="false">+G9+G25+G27+G28</f>
        <v>0</v>
      </c>
      <c r="H29" s="19" t="n">
        <f aca="false">+H9+H25+H27+H28</f>
        <v>51795165</v>
      </c>
      <c r="J29" s="19" t="n">
        <f aca="false">+J9+J25+J27+J28</f>
        <v>28820706</v>
      </c>
      <c r="K29" s="19" t="n">
        <f aca="false">+K9+K25+K27+K28</f>
        <v>11956765</v>
      </c>
      <c r="L29" s="19" t="n">
        <f aca="false">+L9+L25+L27+L28</f>
        <v>40777471</v>
      </c>
      <c r="M29" s="19" t="n">
        <f aca="false">+M9+M25+M27+M28</f>
        <v>2120374</v>
      </c>
      <c r="N29" s="19" t="n">
        <f aca="false">+N9+N25+N27+N28</f>
        <v>42897845</v>
      </c>
      <c r="P29" s="19" t="n">
        <f aca="false">+P9+P25+P27+P28</f>
        <v>14204240</v>
      </c>
      <c r="Q29" s="19" t="n">
        <f aca="false">+Q9+Q25+Q27+Q28</f>
        <v>3715223</v>
      </c>
      <c r="R29" s="19" t="n">
        <f aca="false">+R9+R25+R27+R28</f>
        <v>17919463</v>
      </c>
      <c r="S29" s="19" t="n">
        <f aca="false">+S9+S25+S27+S28</f>
        <v>1245089</v>
      </c>
      <c r="T29" s="19" t="n">
        <f aca="false">+T9+T25+T27+T28</f>
        <v>19164552</v>
      </c>
    </row>
    <row r="30" customFormat="false" ht="15" hidden="false" customHeight="false" outlineLevel="0" collapsed="false">
      <c r="D30" s="10"/>
      <c r="E30" s="10"/>
      <c r="F30" s="10"/>
      <c r="G30" s="10"/>
      <c r="H30" s="10"/>
      <c r="J30" s="10"/>
      <c r="K30" s="10"/>
      <c r="L30" s="10"/>
      <c r="M30" s="10"/>
      <c r="N30" s="10"/>
      <c r="P30" s="10"/>
      <c r="Q30" s="10"/>
      <c r="R30" s="10"/>
      <c r="S30" s="10"/>
      <c r="T30" s="10"/>
    </row>
    <row r="31" customFormat="false" ht="13.8" hidden="false" customHeight="false" outlineLevel="0" collapsed="false">
      <c r="A31" s="0" t="s">
        <v>102</v>
      </c>
      <c r="D31" s="10" t="n">
        <v>0</v>
      </c>
      <c r="E31" s="10" t="n">
        <v>-674385</v>
      </c>
      <c r="F31" s="10" t="n">
        <f aca="false">+D31+E31</f>
        <v>-674385</v>
      </c>
      <c r="G31" s="10"/>
      <c r="H31" s="10" t="n">
        <f aca="false">+F31+G31</f>
        <v>-674385</v>
      </c>
      <c r="J31" s="10" t="n">
        <v>-2310882</v>
      </c>
      <c r="K31" s="10" t="n">
        <v>-670216</v>
      </c>
      <c r="L31" s="10" t="n">
        <f aca="false">+J31+K31</f>
        <v>-2981098</v>
      </c>
      <c r="M31" s="10" t="n">
        <v>0</v>
      </c>
      <c r="N31" s="10" t="n">
        <f aca="false">+L31+M31</f>
        <v>-2981098</v>
      </c>
      <c r="P31" s="10" t="n">
        <v>-5186848</v>
      </c>
      <c r="Q31" s="10" t="n">
        <v>-445202</v>
      </c>
      <c r="R31" s="10" t="n">
        <f aca="false">+P31+Q31</f>
        <v>-5632050</v>
      </c>
      <c r="S31" s="10"/>
      <c r="T31" s="10" t="n">
        <f aca="false">+R31+S31</f>
        <v>-5632050</v>
      </c>
    </row>
    <row r="32" customFormat="false" ht="13.8" hidden="false" customHeight="false" outlineLevel="0" collapsed="false">
      <c r="A32" s="0" t="s">
        <v>103</v>
      </c>
      <c r="D32" s="19" t="n">
        <f aca="false">+D29+D31</f>
        <v>31376176</v>
      </c>
      <c r="E32" s="19" t="n">
        <f aca="false">+E29+E31</f>
        <v>19744604</v>
      </c>
      <c r="F32" s="19" t="n">
        <f aca="false">+F29+F31</f>
        <v>51120780</v>
      </c>
      <c r="G32" s="19" t="n">
        <f aca="false">+G29+G31</f>
        <v>0</v>
      </c>
      <c r="H32" s="19" t="n">
        <f aca="false">+H29+H31</f>
        <v>51120780</v>
      </c>
      <c r="J32" s="19" t="n">
        <f aca="false">+J29+J31</f>
        <v>26509824</v>
      </c>
      <c r="K32" s="19" t="n">
        <f aca="false">+K29+K31</f>
        <v>11286549</v>
      </c>
      <c r="L32" s="19" t="n">
        <f aca="false">+L29+L31</f>
        <v>37796373</v>
      </c>
      <c r="M32" s="19" t="n">
        <f aca="false">+M29+M31</f>
        <v>2120374</v>
      </c>
      <c r="N32" s="19" t="n">
        <f aca="false">+N29+N31</f>
        <v>39916747</v>
      </c>
      <c r="P32" s="19" t="n">
        <f aca="false">+P29+P31</f>
        <v>9017392</v>
      </c>
      <c r="Q32" s="19" t="n">
        <f aca="false">+Q29+Q31</f>
        <v>3270021</v>
      </c>
      <c r="R32" s="19" t="n">
        <f aca="false">+R29+R31</f>
        <v>12287413</v>
      </c>
      <c r="S32" s="19" t="n">
        <f aca="false">+S29+S31</f>
        <v>1245089</v>
      </c>
      <c r="T32" s="19" t="n">
        <f aca="false">+T29+T31</f>
        <v>13532502</v>
      </c>
    </row>
    <row r="33" customFormat="false" ht="15" hidden="false" customHeight="false" outlineLevel="0" collapsed="false">
      <c r="D33" s="10"/>
      <c r="E33" s="10"/>
      <c r="F33" s="10"/>
      <c r="G33" s="10"/>
      <c r="H33" s="10"/>
      <c r="J33" s="10"/>
      <c r="K33" s="10"/>
      <c r="L33" s="10"/>
      <c r="M33" s="10"/>
      <c r="N33" s="10"/>
      <c r="P33" s="10"/>
      <c r="Q33" s="10"/>
      <c r="R33" s="10"/>
      <c r="S33" s="10"/>
      <c r="T33" s="10"/>
    </row>
    <row r="34" customFormat="false" ht="13.8" hidden="false" customHeight="false" outlineLevel="0" collapsed="false">
      <c r="A34" s="0" t="s">
        <v>104</v>
      </c>
      <c r="D34" s="10"/>
      <c r="E34" s="10" t="n">
        <v>0</v>
      </c>
      <c r="F34" s="10" t="n">
        <f aca="false">+D34+E34</f>
        <v>0</v>
      </c>
      <c r="G34" s="10"/>
      <c r="H34" s="10" t="n">
        <f aca="false">+F34+G34</f>
        <v>0</v>
      </c>
      <c r="J34" s="10" t="n">
        <v>-3976474</v>
      </c>
      <c r="K34" s="10" t="n">
        <v>-1692982</v>
      </c>
      <c r="L34" s="10" t="n">
        <f aca="false">+J34+K34</f>
        <v>-5669456</v>
      </c>
      <c r="M34" s="10"/>
      <c r="N34" s="10" t="n">
        <f aca="false">+L34+M34</f>
        <v>-5669456</v>
      </c>
      <c r="P34" s="10"/>
      <c r="Q34" s="10"/>
      <c r="R34" s="10"/>
      <c r="S34" s="10"/>
      <c r="T34" s="10"/>
    </row>
    <row r="35" customFormat="false" ht="13.8" hidden="false" customHeight="false" outlineLevel="0" collapsed="false">
      <c r="A35" s="0" t="s">
        <v>105</v>
      </c>
      <c r="D35" s="10"/>
      <c r="E35" s="10" t="n">
        <v>-5164625</v>
      </c>
      <c r="F35" s="10" t="n">
        <f aca="false">+D35+E35</f>
        <v>-5164625</v>
      </c>
      <c r="G35" s="10"/>
      <c r="H35" s="10" t="n">
        <f aca="false">+F35+G35</f>
        <v>-5164625</v>
      </c>
      <c r="J35" s="10" t="n">
        <v>-7316715</v>
      </c>
      <c r="K35" s="10" t="n">
        <v>-2500922</v>
      </c>
      <c r="L35" s="10" t="n">
        <f aca="false">+J35+K35</f>
        <v>-9817637</v>
      </c>
      <c r="M35" s="10" t="n">
        <f aca="false">+AD!J63</f>
        <v>-358270.25</v>
      </c>
      <c r="N35" s="10" t="n">
        <f aca="false">+L35+M35</f>
        <v>-10175907.25</v>
      </c>
      <c r="P35" s="10" t="n">
        <v>-3550763</v>
      </c>
      <c r="Q35" s="10" t="n">
        <v>-676345</v>
      </c>
      <c r="R35" s="10" t="n">
        <f aca="false">+P35+Q35</f>
        <v>-4227108</v>
      </c>
      <c r="S35" s="10" t="n">
        <f aca="false">AD!N63</f>
        <v>591847.415148</v>
      </c>
      <c r="T35" s="10" t="n">
        <f aca="false">+R35+S35</f>
        <v>-3635260.584852</v>
      </c>
    </row>
    <row r="36" customFormat="false" ht="13.8" hidden="false" customHeight="false" outlineLevel="0" collapsed="false">
      <c r="A36" s="0" t="s">
        <v>106</v>
      </c>
      <c r="D36" s="19" t="n">
        <f aca="false">SUM(D32:D35)</f>
        <v>31376176</v>
      </c>
      <c r="E36" s="19" t="n">
        <f aca="false">SUM(E32:E35)</f>
        <v>14579979</v>
      </c>
      <c r="F36" s="19" t="n">
        <f aca="false">SUM(F32:F35)</f>
        <v>45956155</v>
      </c>
      <c r="G36" s="19" t="n">
        <f aca="false">SUM(G32:G35)</f>
        <v>0</v>
      </c>
      <c r="H36" s="19" t="n">
        <f aca="false">SUM(H32:H35)</f>
        <v>45956155</v>
      </c>
      <c r="J36" s="19" t="n">
        <f aca="false">SUM(J32:J35)</f>
        <v>15216635</v>
      </c>
      <c r="K36" s="19" t="n">
        <f aca="false">SUM(K32:K35)</f>
        <v>7092645</v>
      </c>
      <c r="L36" s="19" t="n">
        <f aca="false">SUM(L32:L35)</f>
        <v>22309280</v>
      </c>
      <c r="M36" s="19" t="n">
        <f aca="false">SUM(M32:M35)</f>
        <v>1762103.75</v>
      </c>
      <c r="N36" s="19" t="n">
        <f aca="false">SUM(N32:N35)</f>
        <v>24071383.75</v>
      </c>
      <c r="P36" s="19" t="n">
        <f aca="false">+P32+P35</f>
        <v>5466629</v>
      </c>
      <c r="Q36" s="19" t="n">
        <f aca="false">+Q32+Q35</f>
        <v>2593676</v>
      </c>
      <c r="R36" s="19" t="n">
        <f aca="false">+R32+R35</f>
        <v>8060305</v>
      </c>
      <c r="S36" s="19" t="n">
        <f aca="false">+S32+S35</f>
        <v>1836936.415148</v>
      </c>
      <c r="T36" s="19" t="n">
        <f aca="false">+T32+T35</f>
        <v>9897241.415148</v>
      </c>
    </row>
    <row r="37" customFormat="false" ht="15" hidden="false" customHeight="false" outlineLevel="0" collapsed="false">
      <c r="D37" s="44"/>
      <c r="E37" s="44"/>
      <c r="F37" s="44"/>
      <c r="G37" s="44"/>
      <c r="H37" s="44"/>
      <c r="J37" s="44"/>
      <c r="K37" s="44"/>
      <c r="L37" s="44"/>
      <c r="M37" s="44"/>
      <c r="N37" s="44"/>
      <c r="P37" s="44"/>
      <c r="Q37" s="44"/>
      <c r="R37" s="44"/>
      <c r="S37" s="44"/>
      <c r="T37" s="44"/>
    </row>
    <row r="38" customFormat="false" ht="15" hidden="false" customHeight="false" outlineLevel="0" collapsed="false">
      <c r="A38" s="0" t="s">
        <v>107</v>
      </c>
      <c r="D38" s="10"/>
      <c r="E38" s="10"/>
      <c r="F38" s="10"/>
      <c r="G38" s="10"/>
      <c r="H38" s="10"/>
      <c r="J38" s="10"/>
      <c r="K38" s="10"/>
      <c r="L38" s="10"/>
      <c r="M38" s="10"/>
      <c r="N38" s="10"/>
      <c r="P38" s="10"/>
      <c r="Q38" s="10"/>
      <c r="R38" s="10"/>
      <c r="S38" s="10"/>
      <c r="T38" s="10"/>
    </row>
    <row r="39" customFormat="false" ht="28.9" hidden="false" customHeight="true" outlineLevel="0" collapsed="false">
      <c r="A39" s="45" t="s">
        <v>108</v>
      </c>
      <c r="B39" s="45"/>
      <c r="C39" s="45"/>
      <c r="D39" s="10"/>
      <c r="E39" s="10" t="n">
        <v>139500</v>
      </c>
      <c r="F39" s="10" t="n">
        <f aca="false">+D39+E39</f>
        <v>139500</v>
      </c>
      <c r="G39" s="18"/>
      <c r="H39" s="10" t="n">
        <f aca="false">+F39+G39</f>
        <v>139500</v>
      </c>
      <c r="I39" s="46"/>
      <c r="J39" s="10" t="n">
        <v>-1099700</v>
      </c>
      <c r="K39" s="10" t="n">
        <v>-15737</v>
      </c>
      <c r="L39" s="10" t="n">
        <f aca="false">+J39+K39</f>
        <v>-1115437</v>
      </c>
      <c r="M39" s="18"/>
      <c r="N39" s="10" t="n">
        <f aca="false">+L39+M39</f>
        <v>-1115437</v>
      </c>
      <c r="O39" s="45"/>
      <c r="P39" s="10" t="n">
        <v>1849659</v>
      </c>
      <c r="Q39" s="10" t="n">
        <v>-26254</v>
      </c>
      <c r="R39" s="10" t="n">
        <f aca="false">+P39+Q39</f>
        <v>1823405</v>
      </c>
      <c r="S39" s="18"/>
      <c r="T39" s="10" t="n">
        <f aca="false">+R39+S39</f>
        <v>1823405</v>
      </c>
      <c r="U39" s="46"/>
    </row>
    <row r="40" customFormat="false" ht="13.8" hidden="false" customHeight="false" outlineLevel="0" collapsed="false">
      <c r="A40" s="0" t="s">
        <v>106</v>
      </c>
      <c r="D40" s="47" t="n">
        <f aca="false">+D36+D39</f>
        <v>31376176</v>
      </c>
      <c r="E40" s="19" t="n">
        <f aca="false">+E36+E39</f>
        <v>14719479</v>
      </c>
      <c r="F40" s="19" t="n">
        <f aca="false">+F36+F39</f>
        <v>46095655</v>
      </c>
      <c r="G40" s="19" t="n">
        <f aca="false">+G36+G39</f>
        <v>0</v>
      </c>
      <c r="H40" s="19" t="n">
        <f aca="false">+H36+H39</f>
        <v>46095655</v>
      </c>
      <c r="I40" s="10"/>
      <c r="J40" s="47" t="n">
        <f aca="false">+J36+J39</f>
        <v>14116935</v>
      </c>
      <c r="K40" s="19" t="n">
        <f aca="false">+K36+K39</f>
        <v>7076908</v>
      </c>
      <c r="L40" s="19" t="n">
        <f aca="false">+L36+L39</f>
        <v>21193843</v>
      </c>
      <c r="M40" s="19" t="n">
        <f aca="false">+M36+M39</f>
        <v>1762103.75</v>
      </c>
      <c r="N40" s="19" t="n">
        <f aca="false">+N36+N39</f>
        <v>22955946.75</v>
      </c>
      <c r="P40" s="47" t="n">
        <f aca="false">+P36+P39</f>
        <v>7316288</v>
      </c>
      <c r="Q40" s="19" t="n">
        <f aca="false">+Q36+Q39</f>
        <v>2567422</v>
      </c>
      <c r="R40" s="19" t="n">
        <f aca="false">+R36+R39</f>
        <v>9883710</v>
      </c>
      <c r="S40" s="19" t="n">
        <f aca="false">+S36+S39</f>
        <v>1836936.415148</v>
      </c>
      <c r="T40" s="19" t="n">
        <f aca="false">+T36+T39</f>
        <v>11720646.415148</v>
      </c>
      <c r="U40" s="10" t="n">
        <f aca="false">+U36+U39</f>
        <v>0</v>
      </c>
    </row>
    <row r="41" customFormat="false" ht="15" hidden="false" customHeight="false" outlineLevel="0" collapsed="false">
      <c r="I41" s="46"/>
      <c r="J41" s="48"/>
      <c r="K41" s="49"/>
      <c r="U41" s="46"/>
    </row>
    <row r="42" customFormat="false" ht="13.8" hidden="false" customHeight="false" outlineLevel="0" collapsed="false">
      <c r="H42" s="33"/>
      <c r="I42" s="46"/>
      <c r="J42" s="50"/>
      <c r="K42" s="33"/>
      <c r="M42" s="51"/>
      <c r="N42" s="51"/>
      <c r="U42" s="46"/>
    </row>
    <row r="43" customFormat="false" ht="15" hidden="false" customHeight="false" outlineLevel="0" collapsed="false">
      <c r="D43" s="46"/>
      <c r="E43" s="46"/>
      <c r="F43" s="46"/>
    </row>
    <row r="44" customFormat="false" ht="15" hidden="false" customHeight="false" outlineLevel="0" collapsed="false">
      <c r="D44" s="2"/>
      <c r="E44" s="46"/>
      <c r="F44" s="46"/>
      <c r="J44" s="7" t="s">
        <v>77</v>
      </c>
      <c r="K44" s="52"/>
      <c r="L44" s="52"/>
      <c r="P44" s="7" t="s">
        <v>77</v>
      </c>
      <c r="Q44" s="52"/>
      <c r="R44" s="52"/>
    </row>
    <row r="45" customFormat="false" ht="15" hidden="false" customHeight="false" outlineLevel="0" collapsed="false">
      <c r="D45" s="2"/>
      <c r="E45" s="46"/>
      <c r="F45" s="46"/>
      <c r="J45" s="2" t="s">
        <v>78</v>
      </c>
      <c r="P45" s="2" t="s">
        <v>78</v>
      </c>
    </row>
  </sheetData>
  <mergeCells count="1">
    <mergeCell ref="A39:C39"/>
  </mergeCells>
  <printOptions headings="false" gridLines="false" gridLinesSet="true" horizontalCentered="false" verticalCentered="false"/>
  <pageMargins left="0.7" right="0.7" top="0.75" bottom="0.75" header="0.511805555555555" footer="0.511805555555555"/>
  <pageSetup paperSize="1" scale="8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20" man="true" max="65535" min="0"/>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5" topLeftCell="E67" activePane="bottomRight" state="frozen"/>
      <selection pane="topLeft" activeCell="A1" activeCellId="0" sqref="A1"/>
      <selection pane="topRight" activeCell="E1" activeCellId="0" sqref="E1"/>
      <selection pane="bottomLeft" activeCell="A67" activeCellId="0" sqref="A67"/>
      <selection pane="bottomRight" activeCell="I79" activeCellId="0" sqref="I79"/>
    </sheetView>
  </sheetViews>
  <sheetFormatPr defaultColWidth="11.48828125" defaultRowHeight="15" zeroHeight="false" outlineLevelRow="0" outlineLevelCol="1"/>
  <cols>
    <col collapsed="false" customWidth="true" hidden="false" outlineLevel="0" max="1" min="1" style="0" width="1.29"/>
    <col collapsed="false" customWidth="true" hidden="false" outlineLevel="0" max="2" min="2" style="0" width="1.58"/>
    <col collapsed="false" customWidth="true" hidden="false" outlineLevel="0" max="3" min="3" style="0" width="21.43"/>
    <col collapsed="false" customWidth="true" hidden="false" outlineLevel="0" max="4" min="4" style="0" width="30.7"/>
    <col collapsed="false" customWidth="true" hidden="true" outlineLevel="1" max="5" min="5" style="2" width="12.29"/>
    <col collapsed="false" customWidth="true" hidden="true" outlineLevel="1" max="6" min="6" style="2" width="14.15"/>
    <col collapsed="false" customWidth="true" hidden="true" outlineLevel="1" max="7" min="7" style="0" width="12.71"/>
    <col collapsed="false" customWidth="true" hidden="true" outlineLevel="1" max="8" min="8" style="8" width="12.14"/>
    <col collapsed="false" customWidth="true" hidden="false" outlineLevel="0" max="9" min="9" style="0" width="12.29"/>
    <col collapsed="false" customWidth="true" hidden="false" outlineLevel="0" max="10" min="10" style="0" width="2.99"/>
    <col collapsed="false" customWidth="true" hidden="false" outlineLevel="0" max="11" min="11" style="8" width="12.42"/>
    <col collapsed="false" customWidth="true" hidden="false" outlineLevel="0" max="12" min="12" style="0" width="14.15"/>
    <col collapsed="false" customWidth="true" hidden="false" outlineLevel="0" max="13" min="13" style="0" width="12.71"/>
    <col collapsed="false" customWidth="true" hidden="false" outlineLevel="0" max="14" min="14" style="0" width="12.57"/>
    <col collapsed="false" customWidth="true" hidden="false" outlineLevel="0" max="15" min="15" style="0" width="12.29"/>
    <col collapsed="false" customWidth="true" hidden="true" outlineLevel="0" max="16" min="16" style="0" width="2.57"/>
    <col collapsed="false" customWidth="true" hidden="true" outlineLevel="0" max="17" min="17" style="2" width="12.29"/>
    <col collapsed="false" customWidth="true" hidden="true" outlineLevel="0" max="18" min="18" style="2" width="14.15"/>
    <col collapsed="false" customWidth="true" hidden="true" outlineLevel="0" max="19" min="19" style="0" width="12.71"/>
    <col collapsed="false" customWidth="true" hidden="true" outlineLevel="0" max="20" min="20" style="8" width="12.14"/>
    <col collapsed="false" customWidth="true" hidden="true" outlineLevel="0" max="21" min="21" style="0" width="12.14"/>
    <col collapsed="false" customWidth="true" hidden="true" outlineLevel="0" max="22" min="22" style="0" width="2.99"/>
  </cols>
  <sheetData>
    <row r="1" customFormat="false" ht="15" hidden="false" customHeight="false" outlineLevel="0" collapsed="false">
      <c r="A1" s="3" t="s">
        <v>12</v>
      </c>
    </row>
    <row r="2" customFormat="false" ht="15" hidden="false" customHeight="false" outlineLevel="0" collapsed="false">
      <c r="A2" s="4" t="s">
        <v>109</v>
      </c>
      <c r="L2" s="2"/>
    </row>
    <row r="3" customFormat="false" ht="15" hidden="false" customHeight="false" outlineLevel="0" collapsed="false">
      <c r="A3" s="4" t="s">
        <v>13</v>
      </c>
      <c r="E3" s="6"/>
      <c r="F3" s="6"/>
      <c r="G3" s="17"/>
      <c r="H3" s="17"/>
      <c r="I3" s="17"/>
      <c r="K3" s="6"/>
      <c r="L3" s="6"/>
      <c r="M3" s="17"/>
      <c r="N3" s="17"/>
      <c r="O3" s="17"/>
      <c r="Q3" s="6"/>
      <c r="R3" s="6"/>
      <c r="S3" s="17"/>
      <c r="T3" s="17"/>
      <c r="U3" s="17"/>
    </row>
    <row r="4" customFormat="false" ht="15" hidden="false" customHeight="false" outlineLevel="0" collapsed="false">
      <c r="A4" s="8" t="s">
        <v>14</v>
      </c>
      <c r="E4" s="10"/>
      <c r="F4" s="10"/>
      <c r="G4" s="18"/>
      <c r="H4" s="39" t="s">
        <v>15</v>
      </c>
      <c r="I4" s="39" t="n">
        <v>2019</v>
      </c>
      <c r="K4" s="10"/>
      <c r="L4" s="10"/>
      <c r="M4" s="18"/>
      <c r="N4" s="39" t="s">
        <v>15</v>
      </c>
      <c r="O4" s="39" t="n">
        <v>2018</v>
      </c>
      <c r="Q4" s="10"/>
      <c r="R4" s="10"/>
      <c r="S4" s="18"/>
      <c r="T4" s="39" t="s">
        <v>15</v>
      </c>
      <c r="U4" s="39" t="n">
        <v>2017</v>
      </c>
    </row>
    <row r="5" customFormat="false" ht="15" hidden="false" customHeight="false" outlineLevel="0" collapsed="false">
      <c r="E5" s="14" t="s">
        <v>16</v>
      </c>
      <c r="F5" s="14" t="s">
        <v>17</v>
      </c>
      <c r="G5" s="41" t="s">
        <v>18</v>
      </c>
      <c r="H5" s="42" t="s">
        <v>19</v>
      </c>
      <c r="I5" s="41" t="s">
        <v>20</v>
      </c>
      <c r="K5" s="14" t="s">
        <v>16</v>
      </c>
      <c r="L5" s="14" t="s">
        <v>17</v>
      </c>
      <c r="M5" s="41" t="s">
        <v>18</v>
      </c>
      <c r="N5" s="42" t="s">
        <v>19</v>
      </c>
      <c r="O5" s="41" t="s">
        <v>20</v>
      </c>
      <c r="Q5" s="14" t="s">
        <v>16</v>
      </c>
      <c r="R5" s="14" t="s">
        <v>17</v>
      </c>
      <c r="S5" s="41" t="s">
        <v>18</v>
      </c>
      <c r="T5" s="42" t="s">
        <v>19</v>
      </c>
      <c r="U5" s="41" t="s">
        <v>20</v>
      </c>
    </row>
    <row r="6" customFormat="false" ht="15" hidden="false" customHeight="false" outlineLevel="0" collapsed="false">
      <c r="E6" s="10"/>
      <c r="F6" s="10"/>
      <c r="G6" s="18"/>
      <c r="H6" s="18"/>
      <c r="I6" s="18"/>
      <c r="K6" s="10"/>
      <c r="L6" s="10"/>
      <c r="M6" s="18"/>
      <c r="N6" s="18"/>
      <c r="O6" s="18"/>
      <c r="Q6" s="10"/>
      <c r="R6" s="10"/>
      <c r="S6" s="18"/>
      <c r="T6" s="18"/>
      <c r="U6" s="18"/>
    </row>
    <row r="7" customFormat="false" ht="15" hidden="false" customHeight="false" outlineLevel="0" collapsed="false">
      <c r="B7" s="53" t="s">
        <v>110</v>
      </c>
      <c r="C7" s="52"/>
      <c r="D7" s="54"/>
      <c r="E7" s="10"/>
      <c r="F7" s="10"/>
      <c r="G7" s="10"/>
      <c r="H7" s="10"/>
      <c r="I7" s="10"/>
      <c r="K7" s="10"/>
      <c r="L7" s="10"/>
      <c r="M7" s="10"/>
      <c r="N7" s="10"/>
      <c r="O7" s="10"/>
      <c r="P7" s="55"/>
      <c r="Q7" s="10"/>
      <c r="R7" s="10"/>
      <c r="S7" s="10"/>
      <c r="T7" s="10"/>
      <c r="U7" s="10"/>
    </row>
    <row r="8" customFormat="false" ht="15" hidden="false" customHeight="false" outlineLevel="0" collapsed="false">
      <c r="B8" s="56" t="s">
        <v>111</v>
      </c>
      <c r="C8" s="46"/>
      <c r="D8" s="55"/>
      <c r="E8" s="10" t="n">
        <f aca="false">+ER!D40-ER!D35</f>
        <v>31376176</v>
      </c>
      <c r="F8" s="10" t="n">
        <f aca="false">+ER!E40-ER!E35</f>
        <v>19884104</v>
      </c>
      <c r="G8" s="10" t="n">
        <f aca="false">+E8+F8</f>
        <v>51260280</v>
      </c>
      <c r="H8" s="10" t="n">
        <f aca="false">+ER!G40-ER!G35</f>
        <v>0</v>
      </c>
      <c r="I8" s="10" t="n">
        <f aca="false">+G8+H8</f>
        <v>51260280</v>
      </c>
      <c r="K8" s="10" t="n">
        <f aca="false">ER!J32</f>
        <v>26509824</v>
      </c>
      <c r="L8" s="10" t="n">
        <v>5215409</v>
      </c>
      <c r="M8" s="10" t="n">
        <f aca="false">+K8+L8</f>
        <v>31725233</v>
      </c>
      <c r="N8" s="10" t="n">
        <f aca="false">+ER!M32</f>
        <v>2120374</v>
      </c>
      <c r="O8" s="10" t="n">
        <f aca="false">+M8+N8</f>
        <v>33845607</v>
      </c>
      <c r="P8" s="55"/>
      <c r="Q8" s="10" t="n">
        <f aca="false">10608696-1591304</f>
        <v>9017392</v>
      </c>
      <c r="R8" s="10" t="n">
        <v>3270021</v>
      </c>
      <c r="S8" s="10" t="n">
        <f aca="false">+Q8+R8</f>
        <v>12287413</v>
      </c>
      <c r="T8" s="10" t="n">
        <f aca="false">+ER!S32</f>
        <v>1245089</v>
      </c>
      <c r="U8" s="10" t="n">
        <f aca="false">+S8+T8</f>
        <v>13532502</v>
      </c>
    </row>
    <row r="9" customFormat="false" ht="28.15" hidden="false" customHeight="true" outlineLevel="0" collapsed="false">
      <c r="B9" s="57" t="s">
        <v>112</v>
      </c>
      <c r="C9" s="57"/>
      <c r="D9" s="57"/>
      <c r="E9" s="10"/>
      <c r="F9" s="10"/>
      <c r="G9" s="10"/>
      <c r="H9" s="10"/>
      <c r="I9" s="10"/>
      <c r="K9" s="10"/>
      <c r="L9" s="10"/>
      <c r="M9" s="10"/>
      <c r="N9" s="10"/>
      <c r="O9" s="10"/>
      <c r="P9" s="58"/>
      <c r="Q9" s="10"/>
      <c r="R9" s="10"/>
      <c r="S9" s="10"/>
      <c r="T9" s="10"/>
      <c r="U9" s="10"/>
    </row>
    <row r="10" customFormat="false" ht="15" hidden="false" customHeight="false" outlineLevel="0" collapsed="false">
      <c r="B10" s="31"/>
      <c r="C10" s="46" t="s">
        <v>113</v>
      </c>
      <c r="D10" s="55"/>
      <c r="E10" s="10" t="n">
        <v>49054</v>
      </c>
      <c r="F10" s="10" t="n">
        <v>251248</v>
      </c>
      <c r="G10" s="10" t="n">
        <f aca="false">+E10+F10</f>
        <v>300302</v>
      </c>
      <c r="H10" s="10"/>
      <c r="I10" s="10" t="n">
        <f aca="false">+G10+H10</f>
        <v>300302</v>
      </c>
      <c r="K10" s="10" t="n">
        <v>23826</v>
      </c>
      <c r="L10" s="10" t="n">
        <v>511226</v>
      </c>
      <c r="M10" s="10" t="n">
        <f aca="false">+K10+L10</f>
        <v>535052</v>
      </c>
      <c r="N10" s="10"/>
      <c r="O10" s="10" t="n">
        <f aca="false">+M10+N10</f>
        <v>535052</v>
      </c>
      <c r="P10" s="55"/>
      <c r="Q10" s="10" t="n">
        <v>200000</v>
      </c>
      <c r="R10" s="10" t="n">
        <v>281795</v>
      </c>
      <c r="S10" s="10" t="n">
        <f aca="false">+Q10+R10</f>
        <v>481795</v>
      </c>
      <c r="T10" s="10"/>
      <c r="U10" s="10" t="n">
        <f aca="false">+S10+T10</f>
        <v>481795</v>
      </c>
    </row>
    <row r="11" customFormat="false" ht="15" hidden="false" customHeight="false" outlineLevel="0" collapsed="false">
      <c r="B11" s="31"/>
      <c r="C11" s="46" t="s">
        <v>114</v>
      </c>
      <c r="D11" s="55"/>
      <c r="E11" s="10"/>
      <c r="F11" s="10"/>
      <c r="G11" s="10" t="n">
        <f aca="false">+E11+F11</f>
        <v>0</v>
      </c>
      <c r="H11" s="10"/>
      <c r="I11" s="10" t="n">
        <f aca="false">+G11+H11</f>
        <v>0</v>
      </c>
      <c r="K11" s="10" t="n">
        <v>2607519</v>
      </c>
      <c r="L11" s="10"/>
      <c r="M11" s="10" t="n">
        <f aca="false">+K11+L11</f>
        <v>2607519</v>
      </c>
      <c r="N11" s="10"/>
      <c r="O11" s="10" t="n">
        <f aca="false">+M11+N11</f>
        <v>2607519</v>
      </c>
      <c r="P11" s="55"/>
      <c r="Q11" s="10" t="n">
        <v>2268000</v>
      </c>
      <c r="R11" s="10"/>
      <c r="S11" s="10" t="n">
        <f aca="false">+Q11+R11</f>
        <v>2268000</v>
      </c>
      <c r="T11" s="10"/>
      <c r="U11" s="10" t="n">
        <f aca="false">+S11+T11</f>
        <v>2268000</v>
      </c>
    </row>
    <row r="12" customFormat="false" ht="15" hidden="false" customHeight="false" outlineLevel="0" collapsed="false">
      <c r="B12" s="31"/>
      <c r="C12" s="59" t="s">
        <v>115</v>
      </c>
      <c r="D12" s="55"/>
      <c r="E12" s="10" t="n">
        <v>18732617</v>
      </c>
      <c r="F12" s="10" t="n">
        <v>9736239</v>
      </c>
      <c r="G12" s="10" t="n">
        <f aca="false">+E12+F12</f>
        <v>28468856</v>
      </c>
      <c r="H12" s="10"/>
      <c r="I12" s="10" t="n">
        <f aca="false">+G12+H12</f>
        <v>28468856</v>
      </c>
      <c r="K12" s="10" t="n">
        <v>19329207</v>
      </c>
      <c r="L12" s="10" t="n">
        <v>9817785</v>
      </c>
      <c r="M12" s="10" t="n">
        <f aca="false">+K12+L12</f>
        <v>29146992</v>
      </c>
      <c r="N12" s="10" t="n">
        <f aca="false">-AD!L41</f>
        <v>-9726442</v>
      </c>
      <c r="O12" s="10" t="n">
        <f aca="false">+M12+N12</f>
        <v>19420550</v>
      </c>
      <c r="P12" s="55"/>
      <c r="Q12" s="10" t="n">
        <v>17346688</v>
      </c>
      <c r="R12" s="10" t="n">
        <v>8496450</v>
      </c>
      <c r="S12" s="10" t="n">
        <f aca="false">+Q12+R12</f>
        <v>25843138</v>
      </c>
      <c r="T12" s="10" t="n">
        <f aca="false">-AD!N41</f>
        <v>-8402210</v>
      </c>
      <c r="U12" s="10" t="n">
        <f aca="false">+S12+T12</f>
        <v>17440928</v>
      </c>
    </row>
    <row r="13" customFormat="false" ht="15" hidden="false" customHeight="false" outlineLevel="0" collapsed="false">
      <c r="B13" s="31"/>
      <c r="C13" s="59" t="s">
        <v>116</v>
      </c>
      <c r="D13" s="55"/>
      <c r="E13" s="10" t="n">
        <v>39210</v>
      </c>
      <c r="F13" s="10"/>
      <c r="G13" s="10" t="n">
        <f aca="false">+E13+F13</f>
        <v>39210</v>
      </c>
      <c r="H13" s="10"/>
      <c r="I13" s="10" t="n">
        <f aca="false">+G13+H13</f>
        <v>39210</v>
      </c>
      <c r="K13" s="10" t="n">
        <v>37744</v>
      </c>
      <c r="L13" s="10"/>
      <c r="M13" s="10" t="n">
        <f aca="false">+K13+L13</f>
        <v>37744</v>
      </c>
      <c r="N13" s="10"/>
      <c r="O13" s="10" t="n">
        <f aca="false">+M13+N13</f>
        <v>37744</v>
      </c>
      <c r="P13" s="55"/>
      <c r="Q13" s="10" t="n">
        <v>39210</v>
      </c>
      <c r="R13" s="10"/>
      <c r="S13" s="10" t="n">
        <f aca="false">+Q13+R13</f>
        <v>39210</v>
      </c>
      <c r="T13" s="10"/>
      <c r="U13" s="10" t="n">
        <f aca="false">+S13+T13</f>
        <v>39210</v>
      </c>
    </row>
    <row r="14" customFormat="false" ht="15" hidden="false" customHeight="true" outlineLevel="0" collapsed="false">
      <c r="B14" s="31"/>
      <c r="C14" s="58" t="s">
        <v>117</v>
      </c>
      <c r="D14" s="58"/>
      <c r="E14" s="10" t="n">
        <v>1484293</v>
      </c>
      <c r="F14" s="10" t="n">
        <v>565841</v>
      </c>
      <c r="G14" s="10" t="n">
        <f aca="false">+E14+F14</f>
        <v>2050134</v>
      </c>
      <c r="H14" s="10"/>
      <c r="I14" s="10" t="n">
        <f aca="false">+G14+H14</f>
        <v>2050134</v>
      </c>
      <c r="K14" s="10" t="n">
        <v>0</v>
      </c>
      <c r="L14" s="10"/>
      <c r="M14" s="10" t="n">
        <f aca="false">+K14+L14</f>
        <v>0</v>
      </c>
      <c r="N14" s="10"/>
      <c r="O14" s="10" t="n">
        <f aca="false">+M14+N14</f>
        <v>0</v>
      </c>
      <c r="P14" s="60"/>
      <c r="Q14" s="10"/>
      <c r="R14" s="10"/>
      <c r="S14" s="10" t="n">
        <f aca="false">+Q14+R14</f>
        <v>0</v>
      </c>
      <c r="T14" s="10"/>
      <c r="U14" s="10" t="n">
        <f aca="false">+S14+T14</f>
        <v>0</v>
      </c>
    </row>
    <row r="15" customFormat="false" ht="15" hidden="false" customHeight="false" outlineLevel="0" collapsed="false">
      <c r="B15" s="31"/>
      <c r="C15" s="46" t="s">
        <v>118</v>
      </c>
      <c r="D15" s="55"/>
      <c r="E15" s="10"/>
      <c r="F15" s="10"/>
      <c r="G15" s="10" t="n">
        <f aca="false">+E15+F15</f>
        <v>0</v>
      </c>
      <c r="H15" s="10"/>
      <c r="I15" s="10" t="n">
        <f aca="false">+G15+H15</f>
        <v>0</v>
      </c>
      <c r="K15" s="10" t="n">
        <v>0</v>
      </c>
      <c r="L15" s="10"/>
      <c r="M15" s="10" t="n">
        <f aca="false">+K15+L15</f>
        <v>0</v>
      </c>
      <c r="N15" s="10"/>
      <c r="O15" s="10" t="n">
        <f aca="false">+M15+N15</f>
        <v>0</v>
      </c>
      <c r="P15" s="55"/>
      <c r="Q15" s="10" t="n">
        <v>0</v>
      </c>
      <c r="R15" s="10"/>
      <c r="S15" s="10" t="n">
        <f aca="false">+Q15+R15</f>
        <v>0</v>
      </c>
      <c r="T15" s="10"/>
      <c r="U15" s="10" t="n">
        <f aca="false">+S15+T15</f>
        <v>0</v>
      </c>
    </row>
    <row r="16" customFormat="false" ht="15" hidden="false" customHeight="false" outlineLevel="0" collapsed="false">
      <c r="B16" s="31"/>
      <c r="C16" s="46" t="s">
        <v>119</v>
      </c>
      <c r="D16" s="55"/>
      <c r="E16" s="10" t="n">
        <v>2692522</v>
      </c>
      <c r="F16" s="10" t="n">
        <v>31853</v>
      </c>
      <c r="G16" s="10" t="n">
        <f aca="false">+E16+F16</f>
        <v>2724375</v>
      </c>
      <c r="H16" s="10"/>
      <c r="I16" s="10" t="n">
        <f aca="false">+G16+H16</f>
        <v>2724375</v>
      </c>
      <c r="K16" s="10" t="n">
        <v>2230401</v>
      </c>
      <c r="L16" s="10" t="n">
        <v>25583</v>
      </c>
      <c r="M16" s="10" t="n">
        <f aca="false">+K16+L16</f>
        <v>2255984</v>
      </c>
      <c r="N16" s="10"/>
      <c r="O16" s="10" t="n">
        <f aca="false">+M16+N16</f>
        <v>2255984</v>
      </c>
      <c r="P16" s="55"/>
      <c r="Q16" s="10" t="n">
        <v>2028637</v>
      </c>
      <c r="R16" s="10" t="n">
        <v>26371</v>
      </c>
      <c r="S16" s="10" t="n">
        <f aca="false">+Q16+R16</f>
        <v>2055008</v>
      </c>
      <c r="T16" s="10"/>
      <c r="U16" s="10" t="n">
        <f aca="false">+S16+T16</f>
        <v>2055008</v>
      </c>
    </row>
    <row r="17" customFormat="false" ht="15" hidden="false" customHeight="false" outlineLevel="0" collapsed="false">
      <c r="B17" s="31"/>
      <c r="C17" s="59" t="s">
        <v>120</v>
      </c>
      <c r="D17" s="55"/>
      <c r="E17" s="10"/>
      <c r="F17" s="10"/>
      <c r="G17" s="10" t="n">
        <f aca="false">+E17+F17</f>
        <v>0</v>
      </c>
      <c r="H17" s="10"/>
      <c r="I17" s="10" t="n">
        <f aca="false">+G17+H17</f>
        <v>0</v>
      </c>
      <c r="K17" s="10" t="n">
        <v>366832</v>
      </c>
      <c r="L17" s="10"/>
      <c r="M17" s="10" t="n">
        <f aca="false">+K17+L17</f>
        <v>366832</v>
      </c>
      <c r="N17" s="10"/>
      <c r="O17" s="10" t="n">
        <f aca="false">+M17+N17</f>
        <v>366832</v>
      </c>
      <c r="P17" s="55"/>
      <c r="Q17" s="10" t="n">
        <v>0</v>
      </c>
      <c r="R17" s="10"/>
      <c r="S17" s="10" t="n">
        <f aca="false">+Q17+R17</f>
        <v>0</v>
      </c>
      <c r="T17" s="10"/>
      <c r="U17" s="10" t="n">
        <f aca="false">+S17+T17</f>
        <v>0</v>
      </c>
    </row>
    <row r="18" customFormat="false" ht="15" hidden="false" customHeight="false" outlineLevel="0" collapsed="false">
      <c r="B18" s="31"/>
      <c r="C18" s="46" t="s">
        <v>121</v>
      </c>
      <c r="D18" s="55"/>
      <c r="E18" s="10" t="n">
        <f aca="false">-ER!D34</f>
        <v>-0</v>
      </c>
      <c r="F18" s="10" t="n">
        <f aca="false">-ER!E34</f>
        <v>-0</v>
      </c>
      <c r="G18" s="10" t="n">
        <f aca="false">+E18+F18</f>
        <v>-0</v>
      </c>
      <c r="H18" s="10"/>
      <c r="I18" s="10" t="n">
        <f aca="false">+G18+H18</f>
        <v>0</v>
      </c>
      <c r="K18" s="10" t="n">
        <v>2404929</v>
      </c>
      <c r="L18" s="10"/>
      <c r="M18" s="10" t="n">
        <f aca="false">+K18+L18</f>
        <v>2404929</v>
      </c>
      <c r="N18" s="10"/>
      <c r="O18" s="10" t="n">
        <f aca="false">+M18+N18</f>
        <v>2404929</v>
      </c>
      <c r="P18" s="55"/>
      <c r="Q18" s="10" t="n">
        <v>3074772</v>
      </c>
      <c r="R18" s="10"/>
      <c r="S18" s="10" t="n">
        <f aca="false">+Q18+R18</f>
        <v>3074772</v>
      </c>
      <c r="T18" s="10"/>
      <c r="U18" s="10" t="n">
        <f aca="false">+S18+T18</f>
        <v>3074772</v>
      </c>
    </row>
    <row r="19" customFormat="false" ht="15" hidden="false" customHeight="false" outlineLevel="0" collapsed="false">
      <c r="B19" s="31"/>
      <c r="C19" s="46" t="s">
        <v>122</v>
      </c>
      <c r="D19" s="55"/>
      <c r="E19" s="10" t="n">
        <v>2973618</v>
      </c>
      <c r="F19" s="10" t="n">
        <f aca="false">236814+94216</f>
        <v>331030</v>
      </c>
      <c r="G19" s="10" t="n">
        <f aca="false">+E19+F19</f>
        <v>3304648</v>
      </c>
      <c r="H19" s="10"/>
      <c r="I19" s="10" t="n">
        <f aca="false">+G19+H19</f>
        <v>3304648</v>
      </c>
      <c r="K19" s="10" t="n">
        <v>1293142</v>
      </c>
      <c r="L19" s="10" t="n">
        <v>251418</v>
      </c>
      <c r="M19" s="10" t="n">
        <f aca="false">+K19+L19</f>
        <v>1544560</v>
      </c>
      <c r="N19" s="10"/>
      <c r="O19" s="10" t="n">
        <f aca="false">+M19+N19</f>
        <v>1544560</v>
      </c>
      <c r="P19" s="55"/>
      <c r="Q19" s="10" t="n">
        <v>1591304</v>
      </c>
      <c r="R19" s="10"/>
      <c r="S19" s="10" t="n">
        <f aca="false">+Q19+R19</f>
        <v>1591304</v>
      </c>
      <c r="T19" s="10"/>
      <c r="U19" s="10" t="n">
        <f aca="false">+S19+T19</f>
        <v>1591304</v>
      </c>
    </row>
    <row r="20" customFormat="false" ht="15" hidden="false" customHeight="false" outlineLevel="0" collapsed="false">
      <c r="B20" s="31"/>
      <c r="C20" s="46" t="s">
        <v>123</v>
      </c>
      <c r="D20" s="55"/>
      <c r="E20" s="10"/>
      <c r="F20" s="10"/>
      <c r="G20" s="10" t="n">
        <f aca="false">+E20+F20</f>
        <v>0</v>
      </c>
      <c r="H20" s="10"/>
      <c r="I20" s="10" t="n">
        <f aca="false">+'Hoja de trabajo'!B86</f>
        <v>3354890.185148</v>
      </c>
      <c r="K20" s="10" t="n">
        <v>7559526</v>
      </c>
      <c r="L20" s="10"/>
      <c r="M20" s="10" t="n">
        <f aca="false">+K20+L20</f>
        <v>7559526</v>
      </c>
      <c r="N20" s="10"/>
      <c r="O20" s="10" t="n">
        <f aca="false">+M20+N20</f>
        <v>7559526</v>
      </c>
      <c r="P20" s="55"/>
      <c r="Q20" s="10" t="n">
        <f aca="false">1308073+234029</f>
        <v>1542102</v>
      </c>
      <c r="R20" s="10" t="n">
        <v>175726</v>
      </c>
      <c r="S20" s="10" t="n">
        <f aca="false">+Q20+R20</f>
        <v>1717828</v>
      </c>
      <c r="T20" s="10"/>
      <c r="U20" s="10" t="n">
        <f aca="false">+S20+T20</f>
        <v>1717828</v>
      </c>
    </row>
    <row r="21" customFormat="false" ht="15" hidden="false" customHeight="false" outlineLevel="0" collapsed="false">
      <c r="B21" s="31"/>
      <c r="C21" s="46" t="s">
        <v>124</v>
      </c>
      <c r="D21" s="55"/>
      <c r="E21" s="10"/>
      <c r="F21" s="10"/>
      <c r="G21" s="10" t="n">
        <f aca="false">+E21+F21</f>
        <v>0</v>
      </c>
      <c r="H21" s="10"/>
      <c r="I21" s="10" t="n">
        <f aca="false">+'Hoja de trabajo'!K39</f>
        <v>-1881937</v>
      </c>
      <c r="K21" s="10" t="n">
        <v>251108</v>
      </c>
      <c r="L21" s="10"/>
      <c r="M21" s="10" t="n">
        <f aca="false">+K21+L21</f>
        <v>251108</v>
      </c>
      <c r="N21" s="10"/>
      <c r="O21" s="10" t="n">
        <f aca="false">+M21+N21</f>
        <v>251108</v>
      </c>
      <c r="P21" s="55"/>
      <c r="Q21" s="10"/>
      <c r="R21" s="10"/>
      <c r="S21" s="10" t="n">
        <f aca="false">+Q21+R21</f>
        <v>0</v>
      </c>
      <c r="T21" s="10"/>
      <c r="U21" s="10" t="n">
        <f aca="false">+S21+T21</f>
        <v>0</v>
      </c>
    </row>
    <row r="22" customFormat="false" ht="15" hidden="false" customHeight="false" outlineLevel="0" collapsed="false">
      <c r="B22" s="31"/>
      <c r="C22" s="46" t="s">
        <v>125</v>
      </c>
      <c r="D22" s="55"/>
      <c r="E22" s="10"/>
      <c r="F22" s="10" t="n">
        <v>-73587</v>
      </c>
      <c r="G22" s="10" t="n">
        <f aca="false">+E22+F22</f>
        <v>-73587</v>
      </c>
      <c r="H22" s="10"/>
      <c r="I22" s="10" t="n">
        <f aca="false">+G22+H22</f>
        <v>-73587</v>
      </c>
      <c r="K22" s="10" t="n">
        <v>-261500</v>
      </c>
      <c r="L22" s="10"/>
      <c r="M22" s="10" t="n">
        <f aca="false">+K22+L22</f>
        <v>-261500</v>
      </c>
      <c r="N22" s="10" t="n">
        <f aca="false">-ER!M35</f>
        <v>358270.25</v>
      </c>
      <c r="O22" s="10" t="n">
        <f aca="false">+M22+N22</f>
        <v>96770.25</v>
      </c>
      <c r="P22" s="55"/>
      <c r="Q22" s="10" t="n">
        <v>476468</v>
      </c>
      <c r="R22" s="10"/>
      <c r="S22" s="10"/>
      <c r="T22" s="10"/>
      <c r="U22" s="10"/>
    </row>
    <row r="23" customFormat="false" ht="15" hidden="false" customHeight="false" outlineLevel="0" collapsed="false">
      <c r="B23" s="31"/>
      <c r="C23" s="46"/>
      <c r="D23" s="55"/>
      <c r="E23" s="6" t="n">
        <f aca="false">SUM(E8:E22)</f>
        <v>57347490</v>
      </c>
      <c r="F23" s="6" t="n">
        <f aca="false">SUM(F8:F22)</f>
        <v>30726728</v>
      </c>
      <c r="G23" s="6" t="n">
        <f aca="false">SUM(G8:G22)</f>
        <v>88074218</v>
      </c>
      <c r="H23" s="6" t="n">
        <f aca="false">SUM(H8:H22)</f>
        <v>0</v>
      </c>
      <c r="I23" s="6" t="n">
        <f aca="false">SUM(I8:I22)</f>
        <v>89547171.185148</v>
      </c>
      <c r="K23" s="6" t="n">
        <f aca="false">SUM(K8:K22)</f>
        <v>62352558</v>
      </c>
      <c r="L23" s="6" t="n">
        <f aca="false">SUM(L8:L22)</f>
        <v>15821421</v>
      </c>
      <c r="M23" s="6" t="n">
        <f aca="false">SUM(M8:M22)</f>
        <v>78173979</v>
      </c>
      <c r="N23" s="6" t="n">
        <f aca="false">SUM(N8:N22)</f>
        <v>-7247797.75</v>
      </c>
      <c r="O23" s="6" t="n">
        <f aca="false">SUM(O8:O22)</f>
        <v>70926181.25</v>
      </c>
      <c r="P23" s="55"/>
      <c r="Q23" s="6" t="n">
        <f aca="false">SUM(Q8:Q22)</f>
        <v>37584573</v>
      </c>
      <c r="R23" s="61" t="n">
        <f aca="false">SUM(R8:R21)</f>
        <v>12250363</v>
      </c>
      <c r="S23" s="6" t="n">
        <f aca="false">SUM(S8:S21)</f>
        <v>49358468</v>
      </c>
      <c r="T23" s="6" t="n">
        <f aca="false">SUM(T8:T21)</f>
        <v>-7157121</v>
      </c>
      <c r="U23" s="6" t="n">
        <f aca="false">SUM(U8:U21)</f>
        <v>42201347</v>
      </c>
    </row>
    <row r="24" customFormat="false" ht="15" hidden="false" customHeight="false" outlineLevel="0" collapsed="false">
      <c r="B24" s="56" t="s">
        <v>126</v>
      </c>
      <c r="C24" s="46"/>
      <c r="D24" s="55"/>
      <c r="E24" s="10"/>
      <c r="F24" s="10"/>
      <c r="G24" s="10"/>
      <c r="H24" s="10"/>
      <c r="I24" s="10"/>
      <c r="K24" s="10"/>
      <c r="L24" s="10"/>
      <c r="M24" s="10"/>
      <c r="N24" s="10"/>
      <c r="O24" s="10"/>
      <c r="P24" s="55"/>
      <c r="Q24" s="10"/>
      <c r="R24" s="10"/>
      <c r="S24" s="10"/>
      <c r="T24" s="10"/>
      <c r="U24" s="10"/>
    </row>
    <row r="25" customFormat="false" ht="15" hidden="false" customHeight="false" outlineLevel="0" collapsed="false">
      <c r="B25" s="31"/>
      <c r="C25" s="46" t="s">
        <v>127</v>
      </c>
      <c r="D25" s="55"/>
      <c r="E25" s="10"/>
      <c r="F25" s="10"/>
      <c r="G25" s="10" t="n">
        <f aca="false">+E25+F25</f>
        <v>0</v>
      </c>
      <c r="H25" s="10"/>
      <c r="I25" s="10" t="n">
        <f aca="false">+'Hoja de trabajo'!B81</f>
        <v>-9601997</v>
      </c>
      <c r="K25" s="10" t="n">
        <v>3944169</v>
      </c>
      <c r="L25" s="10" t="n">
        <v>-602469</v>
      </c>
      <c r="M25" s="10" t="n">
        <f aca="false">+K25+L25</f>
        <v>3341700</v>
      </c>
      <c r="N25" s="10"/>
      <c r="O25" s="10" t="n">
        <f aca="false">+M25+N25</f>
        <v>3341700</v>
      </c>
      <c r="P25" s="55"/>
      <c r="Q25" s="10" t="n">
        <v>2173914</v>
      </c>
      <c r="R25" s="10" t="n">
        <v>153450</v>
      </c>
      <c r="S25" s="10" t="n">
        <f aca="false">+Q25+R25</f>
        <v>2327364</v>
      </c>
      <c r="T25" s="10"/>
      <c r="U25" s="10" t="n">
        <f aca="false">+S25+T25</f>
        <v>2327364</v>
      </c>
    </row>
    <row r="26" customFormat="false" ht="15" hidden="false" customHeight="false" outlineLevel="0" collapsed="false">
      <c r="B26" s="31"/>
      <c r="C26" s="46" t="s">
        <v>36</v>
      </c>
      <c r="D26" s="55"/>
      <c r="E26" s="10"/>
      <c r="F26" s="10"/>
      <c r="G26" s="10" t="n">
        <f aca="false">+E26+F26</f>
        <v>0</v>
      </c>
      <c r="H26" s="10"/>
      <c r="I26" s="10" t="n">
        <f aca="false">+'Hoja de trabajo'!C9+'Hoja de trabajo'!C19</f>
        <v>-42334348</v>
      </c>
      <c r="K26" s="10" t="n">
        <v>-10765719</v>
      </c>
      <c r="L26" s="10" t="n">
        <v>-5894109</v>
      </c>
      <c r="M26" s="10" t="n">
        <f aca="false">+K26+L26</f>
        <v>-16659828</v>
      </c>
      <c r="N26" s="10"/>
      <c r="O26" s="10" t="n">
        <f aca="false">+M26+N26</f>
        <v>-16659828</v>
      </c>
      <c r="P26" s="55"/>
      <c r="Q26" s="10" t="n">
        <v>-16324141</v>
      </c>
      <c r="R26" s="10"/>
      <c r="S26" s="10" t="n">
        <f aca="false">+Q26+R26</f>
        <v>-16324141</v>
      </c>
      <c r="T26" s="10"/>
      <c r="U26" s="10" t="n">
        <f aca="false">+S26+T26</f>
        <v>-16324141</v>
      </c>
    </row>
    <row r="27" customFormat="false" ht="15" hidden="false" customHeight="false" outlineLevel="0" collapsed="false">
      <c r="B27" s="31"/>
      <c r="C27" s="46" t="s">
        <v>37</v>
      </c>
      <c r="D27" s="55"/>
      <c r="E27" s="10"/>
      <c r="F27" s="10"/>
      <c r="G27" s="10" t="n">
        <f aca="false">+E27+F27</f>
        <v>0</v>
      </c>
      <c r="H27" s="10"/>
      <c r="I27" s="10" t="n">
        <f aca="false">+'Hoja de trabajo'!C11+'Hoja de trabajo'!C18</f>
        <v>3570842</v>
      </c>
      <c r="K27" s="10" t="n">
        <v>-233583</v>
      </c>
      <c r="L27" s="10" t="n">
        <f aca="false">-8535012-L26-L25</f>
        <v>-2038434</v>
      </c>
      <c r="M27" s="10" t="n">
        <f aca="false">+K27+L27</f>
        <v>-2272017</v>
      </c>
      <c r="N27" s="10"/>
      <c r="O27" s="10" t="n">
        <f aca="false">+M27+N27</f>
        <v>-2272017</v>
      </c>
      <c r="P27" s="55"/>
      <c r="Q27" s="10" t="n">
        <v>-6350190</v>
      </c>
      <c r="R27" s="10"/>
      <c r="S27" s="10" t="n">
        <f aca="false">+Q27+R27</f>
        <v>-6350190</v>
      </c>
      <c r="T27" s="10"/>
      <c r="U27" s="10" t="n">
        <f aca="false">+S27+T27</f>
        <v>-6350190</v>
      </c>
    </row>
    <row r="28" customFormat="false" ht="15" hidden="false" customHeight="false" outlineLevel="0" collapsed="false">
      <c r="B28" s="31"/>
      <c r="C28" s="46" t="s">
        <v>30</v>
      </c>
      <c r="D28" s="55"/>
      <c r="E28" s="10"/>
      <c r="F28" s="10"/>
      <c r="G28" s="10" t="n">
        <f aca="false">+E28+F28</f>
        <v>0</v>
      </c>
      <c r="H28" s="10"/>
      <c r="I28" s="10" t="n">
        <f aca="false">+'Hoja de trabajo'!C10</f>
        <v>-5084041</v>
      </c>
      <c r="K28" s="10" t="n">
        <v>475548</v>
      </c>
      <c r="L28" s="10"/>
      <c r="M28" s="10" t="n">
        <f aca="false">+K28+L28</f>
        <v>475548</v>
      </c>
      <c r="N28" s="10"/>
      <c r="O28" s="10" t="n">
        <f aca="false">+M28+N28</f>
        <v>475548</v>
      </c>
      <c r="P28" s="55"/>
      <c r="Q28" s="10" t="n">
        <v>546462</v>
      </c>
      <c r="R28" s="10"/>
      <c r="S28" s="10" t="n">
        <f aca="false">+Q28+R28</f>
        <v>546462</v>
      </c>
      <c r="T28" s="10"/>
      <c r="U28" s="10" t="n">
        <f aca="false">+S28+T28</f>
        <v>546462</v>
      </c>
    </row>
    <row r="29" customFormat="false" ht="15" hidden="false" customHeight="false" outlineLevel="0" collapsed="false">
      <c r="B29" s="31"/>
      <c r="C29" s="46" t="s">
        <v>31</v>
      </c>
      <c r="D29" s="55"/>
      <c r="E29" s="10"/>
      <c r="F29" s="10"/>
      <c r="G29" s="10" t="n">
        <f aca="false">+E29+F29</f>
        <v>0</v>
      </c>
      <c r="H29" s="10"/>
      <c r="I29" s="10" t="n">
        <f aca="false">+'Hoja de trabajo'!C12</f>
        <v>-5513872</v>
      </c>
      <c r="K29" s="10" t="n">
        <v>124930</v>
      </c>
      <c r="L29" s="10"/>
      <c r="M29" s="10" t="n">
        <f aca="false">+K29+L29</f>
        <v>124930</v>
      </c>
      <c r="N29" s="10"/>
      <c r="O29" s="10" t="n">
        <f aca="false">+M29+N29</f>
        <v>124930</v>
      </c>
      <c r="P29" s="55"/>
      <c r="Q29" s="10" t="n">
        <v>1692356</v>
      </c>
      <c r="R29" s="10"/>
      <c r="S29" s="10" t="n">
        <f aca="false">+Q29+R29</f>
        <v>1692356</v>
      </c>
      <c r="T29" s="10"/>
      <c r="U29" s="10" t="n">
        <f aca="false">+S29+T29</f>
        <v>1692356</v>
      </c>
    </row>
    <row r="30" customFormat="false" ht="15" hidden="false" customHeight="false" outlineLevel="0" collapsed="false">
      <c r="B30" s="31"/>
      <c r="C30" s="46" t="s">
        <v>32</v>
      </c>
      <c r="D30" s="55"/>
      <c r="E30" s="10"/>
      <c r="F30" s="10"/>
      <c r="G30" s="10" t="n">
        <f aca="false">+E30+F30</f>
        <v>0</v>
      </c>
      <c r="H30" s="10"/>
      <c r="I30" s="10" t="n">
        <f aca="false">+'Hoja de trabajo'!C13</f>
        <v>221118</v>
      </c>
      <c r="K30" s="10" t="n">
        <v>-9031384</v>
      </c>
      <c r="L30" s="10"/>
      <c r="M30" s="10" t="n">
        <f aca="false">+K30+L30</f>
        <v>-9031384</v>
      </c>
      <c r="N30" s="10"/>
      <c r="O30" s="10" t="n">
        <f aca="false">+M30+N30</f>
        <v>-9031384</v>
      </c>
      <c r="P30" s="55"/>
      <c r="Q30" s="10" t="n">
        <v>3855566</v>
      </c>
      <c r="R30" s="10" t="n">
        <v>16620</v>
      </c>
      <c r="S30" s="10" t="n">
        <f aca="false">+Q30+R30</f>
        <v>3872186</v>
      </c>
      <c r="T30" s="10"/>
      <c r="U30" s="10" t="n">
        <f aca="false">+S30+T30</f>
        <v>3872186</v>
      </c>
    </row>
    <row r="31" customFormat="false" ht="15" hidden="false" customHeight="false" outlineLevel="0" collapsed="false">
      <c r="B31" s="31"/>
      <c r="C31" s="46" t="s">
        <v>45</v>
      </c>
      <c r="D31" s="55"/>
      <c r="E31" s="10"/>
      <c r="F31" s="10"/>
      <c r="G31" s="10" t="n">
        <f aca="false">+E31+F31</f>
        <v>0</v>
      </c>
      <c r="H31" s="10"/>
      <c r="I31" s="10" t="n">
        <f aca="false">+'Hoja de trabajo'!C25</f>
        <v>-1984557</v>
      </c>
      <c r="K31" s="10"/>
      <c r="L31" s="10" t="n">
        <v>-86645</v>
      </c>
      <c r="M31" s="10" t="n">
        <f aca="false">+K31+L31</f>
        <v>-86645</v>
      </c>
      <c r="N31" s="10"/>
      <c r="O31" s="10" t="n">
        <f aca="false">+M31+N31</f>
        <v>-86645</v>
      </c>
      <c r="P31" s="55"/>
      <c r="Q31" s="10" t="n">
        <v>-1495</v>
      </c>
      <c r="R31" s="10" t="n">
        <v>-97195</v>
      </c>
      <c r="S31" s="10" t="n">
        <f aca="false">+Q31+R31</f>
        <v>-98690</v>
      </c>
      <c r="T31" s="10"/>
      <c r="U31" s="10" t="n">
        <f aca="false">+S31+T31</f>
        <v>-98690</v>
      </c>
    </row>
    <row r="32" customFormat="false" ht="15" hidden="false" customHeight="false" outlineLevel="0" collapsed="false">
      <c r="B32" s="31"/>
      <c r="C32" s="46" t="s">
        <v>128</v>
      </c>
      <c r="D32" s="55"/>
      <c r="E32" s="10"/>
      <c r="F32" s="10"/>
      <c r="G32" s="10" t="n">
        <f aca="false">+E32+F32</f>
        <v>0</v>
      </c>
      <c r="H32" s="10"/>
      <c r="I32" s="10" t="n">
        <f aca="false">+'Hoja de trabajo'!L8+'Hoja de trabajo'!L20</f>
        <v>9227186</v>
      </c>
      <c r="K32" s="10" t="n">
        <v>-2518955</v>
      </c>
      <c r="L32" s="10" t="n">
        <v>94649</v>
      </c>
      <c r="M32" s="10" t="n">
        <f aca="false">+K32+L32</f>
        <v>-2424306</v>
      </c>
      <c r="N32" s="10"/>
      <c r="O32" s="10" t="n">
        <f aca="false">+M32+N32</f>
        <v>-2424306</v>
      </c>
      <c r="P32" s="55"/>
      <c r="Q32" s="10" t="n">
        <v>-3759434</v>
      </c>
      <c r="R32" s="10" t="n">
        <v>-751038</v>
      </c>
      <c r="S32" s="10" t="n">
        <f aca="false">+Q32+R32</f>
        <v>-4510472</v>
      </c>
      <c r="T32" s="10"/>
      <c r="U32" s="10" t="n">
        <f aca="false">+S32+T32</f>
        <v>-4510472</v>
      </c>
    </row>
    <row r="33" customFormat="false" ht="15" hidden="false" customHeight="false" outlineLevel="0" collapsed="false">
      <c r="B33" s="31"/>
      <c r="C33" s="46" t="s">
        <v>129</v>
      </c>
      <c r="D33" s="55"/>
      <c r="E33" s="10"/>
      <c r="F33" s="10"/>
      <c r="G33" s="10" t="n">
        <f aca="false">+E33+F33</f>
        <v>0</v>
      </c>
      <c r="H33" s="10"/>
      <c r="I33" s="10" t="n">
        <f aca="false">+'Hoja de trabajo'!L9+'Hoja de trabajo'!L21</f>
        <v>52432205</v>
      </c>
      <c r="K33" s="10" t="n">
        <v>618571</v>
      </c>
      <c r="L33" s="10" t="n">
        <v>5583218</v>
      </c>
      <c r="M33" s="10" t="n">
        <f aca="false">+K33+L33</f>
        <v>6201789</v>
      </c>
      <c r="N33" s="10"/>
      <c r="O33" s="10" t="n">
        <f aca="false">+M33+N33</f>
        <v>6201789</v>
      </c>
      <c r="P33" s="55"/>
      <c r="Q33" s="10" t="n">
        <v>1235126</v>
      </c>
      <c r="R33" s="10"/>
      <c r="S33" s="10" t="n">
        <f aca="false">+Q33+R33</f>
        <v>1235126</v>
      </c>
      <c r="T33" s="10"/>
      <c r="U33" s="10" t="n">
        <f aca="false">+S33+T33</f>
        <v>1235126</v>
      </c>
    </row>
    <row r="34" customFormat="false" ht="15" hidden="false" customHeight="false" outlineLevel="0" collapsed="false">
      <c r="B34" s="31"/>
      <c r="C34" s="46" t="s">
        <v>130</v>
      </c>
      <c r="D34" s="55"/>
      <c r="E34" s="10"/>
      <c r="F34" s="10"/>
      <c r="G34" s="10" t="n">
        <f aca="false">+E34+F34</f>
        <v>0</v>
      </c>
      <c r="H34" s="10"/>
      <c r="I34" s="10" t="n">
        <f aca="false">+'Hoja de trabajo'!B70</f>
        <v>-9406957</v>
      </c>
      <c r="K34" s="10" t="n">
        <v>2484728</v>
      </c>
      <c r="L34" s="10" t="n">
        <v>-1023114</v>
      </c>
      <c r="M34" s="10" t="n">
        <f aca="false">+K34+L34</f>
        <v>1461614</v>
      </c>
      <c r="N34" s="10"/>
      <c r="O34" s="10" t="n">
        <f aca="false">+M34+N34</f>
        <v>1461614</v>
      </c>
      <c r="P34" s="55"/>
      <c r="Q34" s="10" t="n">
        <v>64755</v>
      </c>
      <c r="R34" s="10" t="n">
        <v>-273465</v>
      </c>
      <c r="S34" s="10" t="n">
        <f aca="false">+Q34+R34</f>
        <v>-208710</v>
      </c>
      <c r="T34" s="10"/>
      <c r="U34" s="10" t="n">
        <f aca="false">+S34+T34</f>
        <v>-208710</v>
      </c>
    </row>
    <row r="35" customFormat="false" ht="15" hidden="false" customHeight="false" outlineLevel="0" collapsed="false">
      <c r="B35" s="31"/>
      <c r="C35" s="46" t="s">
        <v>131</v>
      </c>
      <c r="D35" s="55"/>
      <c r="E35" s="10"/>
      <c r="F35" s="10"/>
      <c r="G35" s="10" t="n">
        <f aca="false">+E35+F35</f>
        <v>0</v>
      </c>
      <c r="H35" s="10"/>
      <c r="I35" s="10" t="n">
        <f aca="false">+'Hoja de trabajo'!L11+'Hoja de trabajo'!L22</f>
        <v>-1726347</v>
      </c>
      <c r="K35" s="10" t="n">
        <v>-4641544</v>
      </c>
      <c r="L35" s="10" t="n">
        <f aca="false">5964089-L33-L32</f>
        <v>286222</v>
      </c>
      <c r="M35" s="10" t="n">
        <f aca="false">+K35+L35</f>
        <v>-4355322</v>
      </c>
      <c r="N35" s="10" t="n">
        <v>-295764</v>
      </c>
      <c r="O35" s="10" t="n">
        <f aca="false">+M35+N35</f>
        <v>-4651086</v>
      </c>
      <c r="P35" s="55"/>
      <c r="Q35" s="10" t="n">
        <v>4568360</v>
      </c>
      <c r="R35" s="10"/>
      <c r="S35" s="10" t="n">
        <f aca="false">+Q35+R35</f>
        <v>4568360</v>
      </c>
      <c r="T35" s="10"/>
      <c r="U35" s="10" t="n">
        <f aca="false">+S35+T35</f>
        <v>4568360</v>
      </c>
    </row>
    <row r="36" customFormat="false" ht="15" hidden="false" customHeight="false" outlineLevel="0" collapsed="false">
      <c r="B36" s="31"/>
      <c r="C36" s="59" t="s">
        <v>58</v>
      </c>
      <c r="D36" s="55"/>
      <c r="E36" s="10"/>
      <c r="F36" s="10"/>
      <c r="G36" s="10"/>
      <c r="H36" s="10"/>
      <c r="I36" s="10" t="n">
        <f aca="false">+'Hoja de trabajo'!L12+'Hoja de trabajo'!L24</f>
        <v>-15634043</v>
      </c>
      <c r="K36" s="10"/>
      <c r="L36" s="10"/>
      <c r="M36" s="10" t="n">
        <f aca="false">+K36+L36</f>
        <v>0</v>
      </c>
      <c r="N36" s="10"/>
      <c r="O36" s="10" t="n">
        <f aca="false">+M36+N36</f>
        <v>0</v>
      </c>
      <c r="P36" s="55"/>
      <c r="Q36" s="10"/>
      <c r="R36" s="10"/>
      <c r="S36" s="10"/>
      <c r="T36" s="10"/>
      <c r="U36" s="10"/>
    </row>
    <row r="37" customFormat="false" ht="15" hidden="false" customHeight="false" outlineLevel="0" collapsed="false">
      <c r="B37" s="31"/>
      <c r="C37" s="46" t="s">
        <v>132</v>
      </c>
      <c r="D37" s="55"/>
      <c r="E37" s="10"/>
      <c r="F37" s="10"/>
      <c r="G37" s="10" t="n">
        <f aca="false">+E37+F37</f>
        <v>0</v>
      </c>
      <c r="H37" s="10"/>
      <c r="I37" s="10" t="n">
        <v>0</v>
      </c>
      <c r="K37" s="10" t="n">
        <v>-81914</v>
      </c>
      <c r="L37" s="10"/>
      <c r="M37" s="10" t="n">
        <f aca="false">+K37+L37</f>
        <v>-81914</v>
      </c>
      <c r="N37" s="10"/>
      <c r="O37" s="10" t="n">
        <f aca="false">+M37+N37</f>
        <v>-81914</v>
      </c>
      <c r="P37" s="55"/>
      <c r="Q37" s="10" t="n">
        <v>-2404770</v>
      </c>
      <c r="R37" s="10"/>
      <c r="S37" s="10" t="n">
        <f aca="false">+Q37+R37</f>
        <v>-2404770</v>
      </c>
      <c r="T37" s="10"/>
      <c r="U37" s="10" t="n">
        <f aca="false">+S37+T37</f>
        <v>-2404770</v>
      </c>
    </row>
    <row r="38" customFormat="false" ht="15" hidden="false" customHeight="false" outlineLevel="0" collapsed="false">
      <c r="B38" s="31"/>
      <c r="C38" s="46" t="s">
        <v>59</v>
      </c>
      <c r="D38" s="55"/>
      <c r="E38" s="10"/>
      <c r="F38" s="10"/>
      <c r="G38" s="10" t="n">
        <f aca="false">+E38+F38</f>
        <v>0</v>
      </c>
      <c r="H38" s="10"/>
      <c r="I38" s="10" t="n">
        <f aca="false">+'Hoja de trabajo'!B76</f>
        <v>3504271</v>
      </c>
      <c r="K38" s="10" t="n">
        <v>577820</v>
      </c>
      <c r="L38" s="10" t="n">
        <v>417024</v>
      </c>
      <c r="M38" s="10" t="n">
        <f aca="false">+K38+L38</f>
        <v>994844</v>
      </c>
      <c r="N38" s="10"/>
      <c r="O38" s="10" t="n">
        <f aca="false">+M38+N38</f>
        <v>994844</v>
      </c>
      <c r="P38" s="55"/>
      <c r="Q38" s="10" t="n">
        <v>344260</v>
      </c>
      <c r="R38" s="10" t="n">
        <v>-620687</v>
      </c>
      <c r="S38" s="10" t="n">
        <f aca="false">+Q38+R38</f>
        <v>-276427</v>
      </c>
      <c r="T38" s="10"/>
      <c r="U38" s="10" t="n">
        <f aca="false">+S38+T38</f>
        <v>-276427</v>
      </c>
    </row>
    <row r="39" customFormat="false" ht="15" hidden="true" customHeight="false" outlineLevel="0" collapsed="false">
      <c r="B39" s="31"/>
      <c r="C39" s="46" t="s">
        <v>133</v>
      </c>
      <c r="D39" s="55"/>
      <c r="E39" s="10"/>
      <c r="F39" s="10"/>
      <c r="G39" s="10" t="n">
        <f aca="false">+E39+F39</f>
        <v>0</v>
      </c>
      <c r="H39" s="10"/>
      <c r="I39" s="10" t="n">
        <f aca="false">+G39+H39</f>
        <v>0</v>
      </c>
      <c r="K39" s="10"/>
      <c r="L39" s="10"/>
      <c r="M39" s="10" t="n">
        <f aca="false">+K39+L39</f>
        <v>0</v>
      </c>
      <c r="N39" s="10"/>
      <c r="O39" s="10" t="n">
        <f aca="false">+M39+N39</f>
        <v>0</v>
      </c>
      <c r="P39" s="55"/>
      <c r="Q39" s="10"/>
      <c r="R39" s="10"/>
      <c r="S39" s="10" t="n">
        <f aca="false">+Q39+R39</f>
        <v>0</v>
      </c>
      <c r="T39" s="10"/>
      <c r="U39" s="10" t="n">
        <f aca="false">+S39+T39</f>
        <v>0</v>
      </c>
    </row>
    <row r="40" customFormat="false" ht="15" hidden="true" customHeight="false" outlineLevel="0" collapsed="false">
      <c r="B40" s="31"/>
      <c r="C40" s="46" t="s">
        <v>134</v>
      </c>
      <c r="D40" s="55"/>
      <c r="E40" s="10"/>
      <c r="F40" s="10"/>
      <c r="G40" s="10" t="n">
        <f aca="false">+E40+F40</f>
        <v>0</v>
      </c>
      <c r="H40" s="10"/>
      <c r="I40" s="10" t="n">
        <f aca="false">+G40+H40</f>
        <v>0</v>
      </c>
      <c r="K40" s="10"/>
      <c r="L40" s="10"/>
      <c r="M40" s="10" t="n">
        <f aca="false">+K40+L40</f>
        <v>0</v>
      </c>
      <c r="N40" s="10"/>
      <c r="O40" s="10" t="n">
        <f aca="false">+M40+N40</f>
        <v>0</v>
      </c>
      <c r="P40" s="55"/>
      <c r="Q40" s="10"/>
      <c r="R40" s="10"/>
      <c r="S40" s="10" t="n">
        <f aca="false">+Q40+R40</f>
        <v>0</v>
      </c>
      <c r="T40" s="10"/>
      <c r="U40" s="10" t="n">
        <f aca="false">+S40+T40</f>
        <v>0</v>
      </c>
    </row>
    <row r="41" customFormat="false" ht="15" hidden="false" customHeight="false" outlineLevel="0" collapsed="false">
      <c r="B41" s="31"/>
      <c r="C41" s="46" t="s">
        <v>135</v>
      </c>
      <c r="D41" s="55"/>
      <c r="E41" s="25"/>
      <c r="F41" s="25"/>
      <c r="G41" s="10" t="n">
        <f aca="false">+E41+F41</f>
        <v>0</v>
      </c>
      <c r="H41" s="10"/>
      <c r="I41" s="10" t="n">
        <v>0</v>
      </c>
      <c r="K41" s="25" t="n">
        <v>-992443</v>
      </c>
      <c r="L41" s="25"/>
      <c r="M41" s="10" t="n">
        <f aca="false">+K41+L41</f>
        <v>-992443</v>
      </c>
      <c r="N41" s="10"/>
      <c r="O41" s="10" t="n">
        <f aca="false">+M41+N41</f>
        <v>-992443</v>
      </c>
      <c r="P41" s="55"/>
      <c r="Q41" s="25" t="n">
        <v>-2999556</v>
      </c>
      <c r="R41" s="25"/>
      <c r="S41" s="10" t="n">
        <f aca="false">+Q41+R41</f>
        <v>-2999556</v>
      </c>
      <c r="T41" s="10"/>
      <c r="U41" s="10" t="n">
        <f aca="false">+S41+T41</f>
        <v>-2999556</v>
      </c>
    </row>
    <row r="42" customFormat="false" ht="15" hidden="false" customHeight="false" outlineLevel="0" collapsed="false">
      <c r="B42" s="56" t="s">
        <v>136</v>
      </c>
      <c r="C42" s="46"/>
      <c r="D42" s="55"/>
      <c r="E42" s="10" t="n">
        <f aca="false">SUM(E23:E41)</f>
        <v>57347490</v>
      </c>
      <c r="F42" s="10" t="n">
        <f aca="false">SUM(F23:F41)</f>
        <v>30726728</v>
      </c>
      <c r="G42" s="6" t="n">
        <f aca="false">SUM(G23:G41)</f>
        <v>88074218</v>
      </c>
      <c r="H42" s="6" t="n">
        <f aca="false">SUM(H23:H41)</f>
        <v>0</v>
      </c>
      <c r="I42" s="6" t="n">
        <f aca="false">SUM(I23:I41)</f>
        <v>67216631.185148</v>
      </c>
      <c r="K42" s="10" t="n">
        <f aca="false">SUM(K23:K41)</f>
        <v>42312782</v>
      </c>
      <c r="L42" s="10" t="n">
        <f aca="false">SUM(L23:L41)</f>
        <v>12557763</v>
      </c>
      <c r="M42" s="6" t="n">
        <f aca="false">SUM(M23:M41)</f>
        <v>54870545</v>
      </c>
      <c r="N42" s="6" t="n">
        <f aca="false">SUM(N23:N41)</f>
        <v>-7543561.75</v>
      </c>
      <c r="O42" s="6" t="n">
        <f aca="false">SUM(O23:O41)</f>
        <v>47326983.25</v>
      </c>
      <c r="P42" s="55"/>
      <c r="Q42" s="10" t="n">
        <f aca="false">SUM(Q23:Q41)</f>
        <v>20225786</v>
      </c>
      <c r="R42" s="10" t="n">
        <f aca="false">SUM(R23:R41)</f>
        <v>10678048</v>
      </c>
      <c r="S42" s="6" t="n">
        <f aca="false">SUM(S23:S41)</f>
        <v>30427366</v>
      </c>
      <c r="T42" s="6" t="n">
        <f aca="false">SUM(T23:T41)</f>
        <v>-7157121</v>
      </c>
      <c r="U42" s="6" t="n">
        <f aca="false">SUM(U23:U41)</f>
        <v>23270245</v>
      </c>
    </row>
    <row r="43" customFormat="false" ht="15" hidden="false" customHeight="false" outlineLevel="0" collapsed="false">
      <c r="B43" s="31"/>
      <c r="C43" s="46" t="s">
        <v>137</v>
      </c>
      <c r="D43" s="55"/>
      <c r="E43" s="10"/>
      <c r="F43" s="10" t="n">
        <v>-2091119</v>
      </c>
      <c r="G43" s="10" t="n">
        <f aca="false">+E43+F43</f>
        <v>-2091119</v>
      </c>
      <c r="H43" s="18"/>
      <c r="I43" s="10" t="n">
        <f aca="false">+G43+H43</f>
        <v>-2091119</v>
      </c>
      <c r="K43" s="10" t="n">
        <v>-4237903</v>
      </c>
      <c r="L43" s="10"/>
      <c r="M43" s="10" t="n">
        <f aca="false">+K43+L43</f>
        <v>-4237903</v>
      </c>
      <c r="N43" s="18"/>
      <c r="O43" s="10" t="n">
        <f aca="false">+M43+N43</f>
        <v>-4237903</v>
      </c>
      <c r="P43" s="55"/>
      <c r="Q43" s="10" t="n">
        <v>-3550763</v>
      </c>
      <c r="R43" s="10" t="n">
        <v>0</v>
      </c>
      <c r="S43" s="10" t="n">
        <f aca="false">+Q43+R43</f>
        <v>-3550763</v>
      </c>
      <c r="T43" s="18"/>
      <c r="U43" s="10" t="n">
        <f aca="false">+S43+T43</f>
        <v>-3550763</v>
      </c>
    </row>
    <row r="44" customFormat="false" ht="15" hidden="false" customHeight="false" outlineLevel="0" collapsed="false">
      <c r="B44" s="31"/>
      <c r="C44" s="46" t="s">
        <v>138</v>
      </c>
      <c r="D44" s="55"/>
      <c r="E44" s="10" t="n">
        <v>-2840226</v>
      </c>
      <c r="F44" s="10"/>
      <c r="G44" s="10" t="n">
        <f aca="false">+E44+F44</f>
        <v>-2840226</v>
      </c>
      <c r="H44" s="18"/>
      <c r="I44" s="10" t="n">
        <f aca="false">+G44+H44</f>
        <v>-2840226</v>
      </c>
      <c r="K44" s="10" t="n">
        <v>-1591304</v>
      </c>
      <c r="L44" s="10"/>
      <c r="M44" s="10" t="n">
        <f aca="false">+K44+L44</f>
        <v>-1591304</v>
      </c>
      <c r="N44" s="18"/>
      <c r="O44" s="10" t="n">
        <f aca="false">+M44+N44</f>
        <v>-1591304</v>
      </c>
      <c r="P44" s="55"/>
      <c r="Q44" s="10" t="n">
        <v>-1759101</v>
      </c>
      <c r="R44" s="10"/>
      <c r="S44" s="10" t="n">
        <f aca="false">+Q44+R44</f>
        <v>-1759101</v>
      </c>
      <c r="T44" s="18"/>
      <c r="U44" s="10" t="n">
        <f aca="false">+S44+T44</f>
        <v>-1759101</v>
      </c>
    </row>
    <row r="45" customFormat="false" ht="15" hidden="false" customHeight="false" outlineLevel="0" collapsed="false">
      <c r="B45" s="31"/>
      <c r="C45" s="46" t="s">
        <v>139</v>
      </c>
      <c r="D45" s="55"/>
      <c r="E45" s="25"/>
      <c r="F45" s="25"/>
      <c r="G45" s="10" t="n">
        <f aca="false">+E45+F45</f>
        <v>0</v>
      </c>
      <c r="H45" s="18"/>
      <c r="I45" s="10" t="n">
        <f aca="false">+'Hoja de trabajo'!B54</f>
        <v>-3830460</v>
      </c>
      <c r="K45" s="25" t="n">
        <v>-207177</v>
      </c>
      <c r="L45" s="25"/>
      <c r="M45" s="10" t="n">
        <f aca="false">+K45+L45</f>
        <v>-207177</v>
      </c>
      <c r="N45" s="18"/>
      <c r="O45" s="10" t="n">
        <f aca="false">+M45+N45</f>
        <v>-207177</v>
      </c>
      <c r="P45" s="55"/>
      <c r="Q45" s="25" t="n">
        <v>-107410</v>
      </c>
      <c r="R45" s="25"/>
      <c r="S45" s="10" t="n">
        <f aca="false">+Q45+R45</f>
        <v>-107410</v>
      </c>
      <c r="T45" s="18"/>
      <c r="U45" s="10" t="n">
        <f aca="false">+S45+T45</f>
        <v>-107410</v>
      </c>
    </row>
    <row r="46" customFormat="false" ht="15" hidden="false" customHeight="false" outlineLevel="0" collapsed="false">
      <c r="B46" s="62" t="s">
        <v>140</v>
      </c>
      <c r="C46" s="63"/>
      <c r="D46" s="64"/>
      <c r="E46" s="19" t="n">
        <f aca="false">SUM(E42:E45)</f>
        <v>54507264</v>
      </c>
      <c r="F46" s="19" t="n">
        <f aca="false">SUM(F42:F45)</f>
        <v>28635609</v>
      </c>
      <c r="G46" s="19" t="n">
        <f aca="false">SUM(G42:G45)</f>
        <v>83142873</v>
      </c>
      <c r="H46" s="19" t="n">
        <f aca="false">SUM(H42:H45)</f>
        <v>0</v>
      </c>
      <c r="I46" s="19" t="n">
        <f aca="false">SUM(I42:I45)</f>
        <v>58454826.185148</v>
      </c>
      <c r="K46" s="19" t="n">
        <f aca="false">SUM(K42:K45)</f>
        <v>36276398</v>
      </c>
      <c r="L46" s="19" t="n">
        <f aca="false">SUM(L42:L45)</f>
        <v>12557763</v>
      </c>
      <c r="M46" s="19" t="n">
        <f aca="false">SUM(M42:M45)</f>
        <v>48834161</v>
      </c>
      <c r="N46" s="19" t="n">
        <f aca="false">SUM(N42:N45)</f>
        <v>-7543561.75</v>
      </c>
      <c r="O46" s="19" t="n">
        <f aca="false">SUM(O42:O45)</f>
        <v>41290599.25</v>
      </c>
      <c r="P46" s="65"/>
      <c r="Q46" s="19" t="n">
        <f aca="false">SUM(Q42:Q45)</f>
        <v>14808512</v>
      </c>
      <c r="R46" s="19" t="n">
        <f aca="false">SUM(R42:R45)</f>
        <v>10678048</v>
      </c>
      <c r="S46" s="19" t="n">
        <f aca="false">SUM(S42:S45)</f>
        <v>25010092</v>
      </c>
      <c r="T46" s="19" t="n">
        <f aca="false">SUM(T42:T45)</f>
        <v>-7157121</v>
      </c>
      <c r="U46" s="19" t="n">
        <f aca="false">SUM(U42:U45)</f>
        <v>17852971</v>
      </c>
    </row>
    <row r="47" customFormat="false" ht="15" hidden="false" customHeight="false" outlineLevel="0" collapsed="false">
      <c r="B47" s="66"/>
      <c r="C47" s="52"/>
      <c r="D47" s="54"/>
      <c r="E47" s="10"/>
      <c r="F47" s="10"/>
      <c r="G47" s="18"/>
      <c r="H47" s="18"/>
      <c r="I47" s="18"/>
      <c r="K47" s="10"/>
      <c r="L47" s="10"/>
      <c r="M47" s="18"/>
      <c r="N47" s="18"/>
      <c r="O47" s="18"/>
      <c r="Q47" s="10"/>
      <c r="R47" s="10"/>
      <c r="S47" s="18"/>
      <c r="T47" s="18"/>
      <c r="U47" s="18"/>
    </row>
    <row r="48" customFormat="false" ht="15" hidden="false" customHeight="false" outlineLevel="0" collapsed="false">
      <c r="B48" s="56" t="s">
        <v>141</v>
      </c>
      <c r="C48" s="46"/>
      <c r="D48" s="55"/>
      <c r="E48" s="10"/>
      <c r="F48" s="10"/>
      <c r="G48" s="18"/>
      <c r="H48" s="18"/>
      <c r="I48" s="18"/>
      <c r="K48" s="10"/>
      <c r="L48" s="10"/>
      <c r="M48" s="18"/>
      <c r="N48" s="18"/>
      <c r="O48" s="18"/>
      <c r="Q48" s="10"/>
      <c r="R48" s="10"/>
      <c r="S48" s="18"/>
      <c r="T48" s="18"/>
      <c r="U48" s="18"/>
    </row>
    <row r="49" customFormat="false" ht="27.75" hidden="false" customHeight="true" outlineLevel="0" collapsed="false">
      <c r="B49" s="31"/>
      <c r="C49" s="67" t="s">
        <v>142</v>
      </c>
      <c r="D49" s="67"/>
      <c r="E49" s="10"/>
      <c r="F49" s="10"/>
      <c r="G49" s="10" t="n">
        <f aca="false">+E49+F49</f>
        <v>0</v>
      </c>
      <c r="H49" s="18"/>
      <c r="I49" s="10" t="n">
        <f aca="false">+'Hoja de trabajo'!C7</f>
        <v>3358789</v>
      </c>
      <c r="K49" s="10" t="n">
        <v>251011</v>
      </c>
      <c r="L49" s="10"/>
      <c r="M49" s="10" t="n">
        <f aca="false">+K49+L49</f>
        <v>251011</v>
      </c>
      <c r="N49" s="18"/>
      <c r="O49" s="10" t="n">
        <f aca="false">+M49+N49</f>
        <v>251011</v>
      </c>
      <c r="Q49" s="10" t="n">
        <v>-593863</v>
      </c>
      <c r="R49" s="10"/>
      <c r="S49" s="10" t="n">
        <f aca="false">+Q49+R49</f>
        <v>-593863</v>
      </c>
      <c r="T49" s="18"/>
      <c r="U49" s="10" t="n">
        <f aca="false">+S49+T49</f>
        <v>-593863</v>
      </c>
    </row>
    <row r="50" customFormat="false" ht="15" hidden="false" customHeight="false" outlineLevel="0" collapsed="false">
      <c r="B50" s="31"/>
      <c r="C50" s="68" t="s">
        <v>143</v>
      </c>
      <c r="D50" s="55"/>
      <c r="E50" s="10"/>
      <c r="F50" s="10"/>
      <c r="G50" s="10" t="n">
        <f aca="false">+E50+F50</f>
        <v>0</v>
      </c>
      <c r="H50" s="18"/>
      <c r="I50" s="10" t="n">
        <f aca="false">+'Hoja de trabajo'!C6</f>
        <v>-3107992</v>
      </c>
      <c r="K50" s="10" t="n">
        <v>29809</v>
      </c>
      <c r="L50" s="10" t="n">
        <v>-205582</v>
      </c>
      <c r="M50" s="10" t="n">
        <f aca="false">+K50+L50</f>
        <v>-175773</v>
      </c>
      <c r="N50" s="18"/>
      <c r="O50" s="10" t="n">
        <f aca="false">+M50+N50</f>
        <v>-175773</v>
      </c>
      <c r="Q50" s="10" t="n">
        <v>5828169</v>
      </c>
      <c r="R50" s="10"/>
      <c r="S50" s="10" t="n">
        <f aca="false">+Q50+R50</f>
        <v>5828169</v>
      </c>
      <c r="T50" s="18"/>
      <c r="U50" s="10" t="n">
        <f aca="false">+S50+T50</f>
        <v>5828169</v>
      </c>
    </row>
    <row r="51" customFormat="false" ht="15" hidden="false" customHeight="false" outlineLevel="0" collapsed="false">
      <c r="B51" s="31"/>
      <c r="C51" s="59" t="s">
        <v>144</v>
      </c>
      <c r="D51" s="55"/>
      <c r="E51" s="10"/>
      <c r="F51" s="10"/>
      <c r="G51" s="10"/>
      <c r="H51" s="18"/>
      <c r="I51" s="10" t="n">
        <f aca="false">+'Hoja de trabajo'!C23</f>
        <v>-436479</v>
      </c>
      <c r="K51" s="10"/>
      <c r="L51" s="10"/>
      <c r="M51" s="10"/>
      <c r="N51" s="18"/>
      <c r="O51" s="10"/>
      <c r="Q51" s="10"/>
      <c r="R51" s="10"/>
      <c r="S51" s="10"/>
      <c r="T51" s="18"/>
      <c r="U51" s="10"/>
    </row>
    <row r="52" customFormat="false" ht="15" hidden="false" customHeight="false" outlineLevel="0" collapsed="false">
      <c r="B52" s="31"/>
      <c r="C52" s="69" t="s">
        <v>145</v>
      </c>
      <c r="D52" s="69"/>
      <c r="E52" s="10"/>
      <c r="F52" s="10" t="n">
        <v>205582</v>
      </c>
      <c r="G52" s="10" t="n">
        <f aca="false">+E52+F52</f>
        <v>205582</v>
      </c>
      <c r="H52" s="18"/>
      <c r="I52" s="10" t="n">
        <f aca="false">+'Hoja de trabajo'!B49</f>
        <v>8040389</v>
      </c>
      <c r="K52" s="10"/>
      <c r="L52" s="10"/>
      <c r="M52" s="10" t="n">
        <f aca="false">+K52+L52</f>
        <v>0</v>
      </c>
      <c r="N52" s="18"/>
      <c r="O52" s="10"/>
      <c r="Q52" s="10" t="n">
        <v>0</v>
      </c>
      <c r="R52" s="10"/>
      <c r="S52" s="10" t="n">
        <f aca="false">+Q52+R52</f>
        <v>0</v>
      </c>
      <c r="T52" s="18"/>
      <c r="U52" s="10"/>
    </row>
    <row r="53" customFormat="false" ht="15" hidden="false" customHeight="false" outlineLevel="0" collapsed="false">
      <c r="B53" s="31"/>
      <c r="C53" s="46" t="s">
        <v>146</v>
      </c>
      <c r="D53" s="55"/>
      <c r="E53" s="10"/>
      <c r="F53" s="10"/>
      <c r="G53" s="10" t="n">
        <f aca="false">+E53+F53</f>
        <v>0</v>
      </c>
      <c r="H53" s="18"/>
      <c r="I53" s="10" t="n">
        <f aca="false">+'Hoja de trabajo'!C24</f>
        <v>-3606335</v>
      </c>
      <c r="K53" s="10" t="n">
        <v>1978971</v>
      </c>
      <c r="L53" s="10"/>
      <c r="M53" s="10" t="n">
        <f aca="false">+K53+L53</f>
        <v>1978971</v>
      </c>
      <c r="N53" s="18"/>
      <c r="O53" s="10" t="n">
        <f aca="false">+M53+N53</f>
        <v>1978971</v>
      </c>
      <c r="Q53" s="10" t="n">
        <v>-962949</v>
      </c>
      <c r="R53" s="10"/>
      <c r="S53" s="10" t="n">
        <f aca="false">+Q53+R53</f>
        <v>-962949</v>
      </c>
      <c r="T53" s="18"/>
      <c r="U53" s="10" t="n">
        <f aca="false">+S53+T53</f>
        <v>-962949</v>
      </c>
    </row>
    <row r="54" customFormat="false" ht="15" hidden="false" customHeight="false" outlineLevel="0" collapsed="false">
      <c r="B54" s="31"/>
      <c r="C54" s="46" t="s">
        <v>147</v>
      </c>
      <c r="D54" s="55"/>
      <c r="E54" s="10"/>
      <c r="F54" s="10" t="n">
        <v>-11702814</v>
      </c>
      <c r="G54" s="10" t="n">
        <f aca="false">+E54+F54</f>
        <v>-11702814</v>
      </c>
      <c r="H54" s="10"/>
      <c r="I54" s="10" t="n">
        <f aca="false">+'Hoja de trabajo'!B43</f>
        <v>-49755315.938548</v>
      </c>
      <c r="K54" s="10" t="n">
        <v>-10976052</v>
      </c>
      <c r="L54" s="10" t="n">
        <v>-6427483</v>
      </c>
      <c r="M54" s="10" t="n">
        <f aca="false">+K54+L54</f>
        <v>-17403535</v>
      </c>
      <c r="N54" s="10" t="n">
        <f aca="false">+AD!L23</f>
        <v>5827272</v>
      </c>
      <c r="O54" s="10" t="n">
        <f aca="false">+M54+N54</f>
        <v>-11576263</v>
      </c>
      <c r="Q54" s="10" t="n">
        <v>-13974701</v>
      </c>
      <c r="R54" s="10" t="n">
        <v>-7233185</v>
      </c>
      <c r="S54" s="10" t="n">
        <f aca="false">+Q54+R54</f>
        <v>-21207886</v>
      </c>
      <c r="T54" s="10" t="n">
        <f aca="false">+AD!N23</f>
        <v>7144181</v>
      </c>
      <c r="U54" s="10" t="n">
        <f aca="false">+S54+T54</f>
        <v>-14063705</v>
      </c>
    </row>
    <row r="55" customFormat="false" ht="15" hidden="true" customHeight="false" outlineLevel="0" collapsed="false">
      <c r="B55" s="31"/>
      <c r="C55" s="46" t="s">
        <v>148</v>
      </c>
      <c r="D55" s="55"/>
      <c r="E55" s="10"/>
      <c r="F55" s="10"/>
      <c r="G55" s="10" t="n">
        <f aca="false">+E55+F55</f>
        <v>0</v>
      </c>
      <c r="H55" s="18"/>
      <c r="I55" s="10" t="n">
        <f aca="false">+G55+H55</f>
        <v>0</v>
      </c>
      <c r="K55" s="10"/>
      <c r="L55" s="10"/>
      <c r="M55" s="10" t="n">
        <f aca="false">+K55+L55</f>
        <v>0</v>
      </c>
      <c r="N55" s="18"/>
      <c r="O55" s="10" t="n">
        <f aca="false">+M55+N55</f>
        <v>0</v>
      </c>
      <c r="Q55" s="10" t="n">
        <v>0</v>
      </c>
      <c r="R55" s="10"/>
      <c r="S55" s="10" t="n">
        <f aca="false">+Q55+R55</f>
        <v>0</v>
      </c>
      <c r="T55" s="18"/>
      <c r="U55" s="10" t="n">
        <f aca="false">+S55+T55</f>
        <v>0</v>
      </c>
    </row>
    <row r="56" customFormat="false" ht="15" hidden="true" customHeight="false" outlineLevel="0" collapsed="false">
      <c r="B56" s="31"/>
      <c r="C56" s="70" t="s">
        <v>149</v>
      </c>
      <c r="D56" s="55"/>
      <c r="E56" s="10"/>
      <c r="F56" s="10"/>
      <c r="G56" s="10"/>
      <c r="H56" s="18"/>
      <c r="I56" s="10" t="n">
        <f aca="false">+G56+H56</f>
        <v>0</v>
      </c>
      <c r="K56" s="10"/>
      <c r="L56" s="10"/>
      <c r="M56" s="10"/>
      <c r="N56" s="18"/>
      <c r="O56" s="10" t="n">
        <f aca="false">+M56+N56</f>
        <v>0</v>
      </c>
      <c r="Q56" s="10"/>
      <c r="R56" s="10"/>
      <c r="S56" s="10"/>
      <c r="T56" s="18"/>
      <c r="U56" s="10" t="n">
        <f aca="false">+S56+T56</f>
        <v>0</v>
      </c>
    </row>
    <row r="57" customFormat="false" ht="15" hidden="false" customHeight="false" outlineLevel="0" collapsed="false">
      <c r="B57" s="31"/>
      <c r="C57" s="46" t="s">
        <v>150</v>
      </c>
      <c r="D57" s="55"/>
      <c r="E57" s="25"/>
      <c r="F57" s="25" t="n">
        <v>-231006</v>
      </c>
      <c r="G57" s="10" t="n">
        <f aca="false">+E57+F57</f>
        <v>-231006</v>
      </c>
      <c r="H57" s="18"/>
      <c r="I57" s="10" t="n">
        <f aca="false">+'Hoja de trabajo'!B59</f>
        <v>-4285084</v>
      </c>
      <c r="K57" s="25" t="n">
        <v>-4862718</v>
      </c>
      <c r="L57" s="25" t="n">
        <v>-15600</v>
      </c>
      <c r="M57" s="10" t="n">
        <f aca="false">+K57+L57</f>
        <v>-4878318</v>
      </c>
      <c r="N57" s="18"/>
      <c r="O57" s="10" t="n">
        <f aca="false">+M57+N57</f>
        <v>-4878318</v>
      </c>
      <c r="Q57" s="25" t="n">
        <v>-1204028</v>
      </c>
      <c r="R57" s="25" t="n">
        <v>-261435</v>
      </c>
      <c r="S57" s="10" t="n">
        <f aca="false">+Q57+R57</f>
        <v>-1465463</v>
      </c>
      <c r="T57" s="18"/>
      <c r="U57" s="10" t="n">
        <f aca="false">+S57+T57</f>
        <v>-1465463</v>
      </c>
    </row>
    <row r="58" customFormat="false" ht="15" hidden="false" customHeight="false" outlineLevel="0" collapsed="false">
      <c r="B58" s="62" t="s">
        <v>151</v>
      </c>
      <c r="C58" s="63"/>
      <c r="D58" s="64"/>
      <c r="E58" s="19" t="n">
        <f aca="false">E49+E50+E52+E53+E54+E55+E57</f>
        <v>0</v>
      </c>
      <c r="F58" s="19" t="n">
        <f aca="false">SUM(F49:F57)</f>
        <v>-11728238</v>
      </c>
      <c r="G58" s="19" t="n">
        <f aca="false">SUM(G49:G57)</f>
        <v>-11728238</v>
      </c>
      <c r="H58" s="19" t="n">
        <f aca="false">SUM(H49:H57)</f>
        <v>0</v>
      </c>
      <c r="I58" s="19" t="n">
        <f aca="false">SUM(I49:I57)</f>
        <v>-49792027.938548</v>
      </c>
      <c r="K58" s="19" t="n">
        <f aca="false">K49+K50+K52+K53+K54+K55+K57</f>
        <v>-13578979</v>
      </c>
      <c r="L58" s="19" t="n">
        <f aca="false">SUM(L49:L57)</f>
        <v>-6648665</v>
      </c>
      <c r="M58" s="19" t="n">
        <f aca="false">SUM(M49:M57)</f>
        <v>-20227644</v>
      </c>
      <c r="N58" s="19" t="n">
        <f aca="false">SUM(N49:N57)</f>
        <v>5827272</v>
      </c>
      <c r="O58" s="19" t="n">
        <f aca="false">SUM(O49:O57)</f>
        <v>-14400372</v>
      </c>
      <c r="Q58" s="19" t="n">
        <f aca="false">Q49+Q50+Q52+Q53+Q54+Q55+Q57</f>
        <v>-10907372</v>
      </c>
      <c r="R58" s="19" t="n">
        <f aca="false">SUM(R49:R57)</f>
        <v>-7494620</v>
      </c>
      <c r="S58" s="19" t="n">
        <f aca="false">SUM(S49:S57)</f>
        <v>-18401992</v>
      </c>
      <c r="T58" s="19" t="n">
        <f aca="false">SUM(T49:T57)</f>
        <v>7144181</v>
      </c>
      <c r="U58" s="19" t="n">
        <f aca="false">SUM(U49:U57)</f>
        <v>-11257811</v>
      </c>
    </row>
    <row r="59" customFormat="false" ht="15" hidden="false" customHeight="false" outlineLevel="0" collapsed="false">
      <c r="B59" s="66"/>
      <c r="C59" s="52"/>
      <c r="D59" s="54"/>
      <c r="E59" s="10"/>
      <c r="F59" s="10"/>
      <c r="G59" s="18"/>
      <c r="H59" s="18"/>
      <c r="I59" s="18"/>
      <c r="K59" s="10"/>
      <c r="L59" s="10"/>
      <c r="M59" s="18"/>
      <c r="N59" s="18"/>
      <c r="O59" s="18"/>
      <c r="Q59" s="10"/>
      <c r="R59" s="10"/>
      <c r="S59" s="18"/>
      <c r="T59" s="18"/>
      <c r="U59" s="18"/>
    </row>
    <row r="60" customFormat="false" ht="15" hidden="false" customHeight="false" outlineLevel="0" collapsed="false">
      <c r="B60" s="56" t="s">
        <v>152</v>
      </c>
      <c r="C60" s="46"/>
      <c r="D60" s="55"/>
      <c r="E60" s="10"/>
      <c r="F60" s="10"/>
      <c r="G60" s="18"/>
      <c r="H60" s="18"/>
      <c r="I60" s="18"/>
      <c r="K60" s="10"/>
      <c r="L60" s="10"/>
      <c r="M60" s="10" t="n">
        <f aca="false">+K60+L60</f>
        <v>0</v>
      </c>
      <c r="N60" s="18"/>
      <c r="O60" s="18"/>
      <c r="Q60" s="10"/>
      <c r="R60" s="10"/>
      <c r="S60" s="18"/>
      <c r="T60" s="18"/>
      <c r="U60" s="18"/>
    </row>
    <row r="61" customFormat="false" ht="15" hidden="true" customHeight="false" outlineLevel="0" collapsed="false">
      <c r="B61" s="31"/>
      <c r="C61" s="46" t="s">
        <v>153</v>
      </c>
      <c r="D61" s="55"/>
      <c r="E61" s="10" t="n">
        <v>0</v>
      </c>
      <c r="F61" s="10"/>
      <c r="G61" s="71" t="n">
        <f aca="false">+E61+F61</f>
        <v>0</v>
      </c>
      <c r="H61" s="18"/>
      <c r="I61" s="10" t="n">
        <f aca="false">+G61+H61</f>
        <v>0</v>
      </c>
      <c r="K61" s="10" t="n">
        <v>0</v>
      </c>
      <c r="L61" s="10"/>
      <c r="M61" s="10" t="n">
        <f aca="false">+K61+L61</f>
        <v>0</v>
      </c>
      <c r="N61" s="18"/>
      <c r="O61" s="10" t="n">
        <f aca="false">+M61+N61</f>
        <v>0</v>
      </c>
      <c r="Q61" s="10" t="n">
        <v>0</v>
      </c>
      <c r="R61" s="10"/>
      <c r="S61" s="71" t="n">
        <f aca="false">+Q61+R61</f>
        <v>0</v>
      </c>
      <c r="T61" s="18"/>
      <c r="U61" s="10" t="n">
        <f aca="false">+S61+T61</f>
        <v>0</v>
      </c>
    </row>
    <row r="62" customFormat="false" ht="15" hidden="true" customHeight="false" outlineLevel="0" collapsed="false">
      <c r="B62" s="31"/>
      <c r="C62" s="46" t="s">
        <v>72</v>
      </c>
      <c r="D62" s="55"/>
      <c r="E62" s="10"/>
      <c r="F62" s="10"/>
      <c r="G62" s="10" t="n">
        <f aca="false">+E62+F62</f>
        <v>0</v>
      </c>
      <c r="H62" s="18"/>
      <c r="I62" s="10" t="n">
        <f aca="false">+G62+H62</f>
        <v>0</v>
      </c>
      <c r="K62" s="10"/>
      <c r="L62" s="10"/>
      <c r="M62" s="10" t="n">
        <f aca="false">+K62+L62</f>
        <v>0</v>
      </c>
      <c r="N62" s="18"/>
      <c r="O62" s="10" t="n">
        <f aca="false">+M62+N62</f>
        <v>0</v>
      </c>
      <c r="Q62" s="10"/>
      <c r="R62" s="10"/>
      <c r="S62" s="10" t="n">
        <f aca="false">+Q62+R62</f>
        <v>0</v>
      </c>
      <c r="T62" s="18"/>
      <c r="U62" s="10" t="n">
        <f aca="false">+S62+T62</f>
        <v>0</v>
      </c>
    </row>
    <row r="63" customFormat="false" ht="15" hidden="true" customHeight="false" outlineLevel="0" collapsed="false">
      <c r="B63" s="31"/>
      <c r="C63" s="46" t="s">
        <v>154</v>
      </c>
      <c r="D63" s="55"/>
      <c r="E63" s="10"/>
      <c r="F63" s="10"/>
      <c r="G63" s="10" t="n">
        <f aca="false">+E63+F63</f>
        <v>0</v>
      </c>
      <c r="H63" s="18"/>
      <c r="I63" s="10" t="n">
        <f aca="false">+G63+H63</f>
        <v>0</v>
      </c>
      <c r="K63" s="10"/>
      <c r="L63" s="10"/>
      <c r="M63" s="10" t="n">
        <f aca="false">+K63+L63</f>
        <v>0</v>
      </c>
      <c r="N63" s="18"/>
      <c r="O63" s="10" t="n">
        <f aca="false">+M63+N63</f>
        <v>0</v>
      </c>
      <c r="Q63" s="10"/>
      <c r="R63" s="10"/>
      <c r="S63" s="10" t="n">
        <f aca="false">+Q63+R63</f>
        <v>0</v>
      </c>
      <c r="T63" s="18"/>
      <c r="U63" s="10" t="n">
        <f aca="false">+S63+T63</f>
        <v>0</v>
      </c>
    </row>
    <row r="64" customFormat="false" ht="15" hidden="false" customHeight="false" outlineLevel="0" collapsed="false">
      <c r="B64" s="31"/>
      <c r="C64" s="46" t="s">
        <v>155</v>
      </c>
      <c r="D64" s="55"/>
      <c r="E64" s="10"/>
      <c r="F64" s="10" t="n">
        <v>-1606362</v>
      </c>
      <c r="G64" s="10" t="n">
        <f aca="false">+E64+F64</f>
        <v>-1606362</v>
      </c>
      <c r="H64" s="18"/>
      <c r="I64" s="10" t="n">
        <f aca="false">+'Hoja de trabajo'!L6+'Hoja de trabajo'!L18</f>
        <v>670511</v>
      </c>
      <c r="K64" s="10" t="n">
        <v>-7240853</v>
      </c>
      <c r="L64" s="10" t="n">
        <v>873161</v>
      </c>
      <c r="M64" s="10" t="n">
        <f aca="false">+K64+L64</f>
        <v>-6367692</v>
      </c>
      <c r="N64" s="18"/>
      <c r="O64" s="10" t="n">
        <f aca="false">+M64+N64</f>
        <v>-6367692</v>
      </c>
      <c r="Q64" s="10" t="n">
        <v>-4709384</v>
      </c>
      <c r="R64" s="10" t="n">
        <v>-3372028</v>
      </c>
      <c r="S64" s="10" t="n">
        <f aca="false">+Q64+R64</f>
        <v>-8081412</v>
      </c>
      <c r="T64" s="18"/>
      <c r="U64" s="10" t="n">
        <f aca="false">+S64+T64</f>
        <v>-8081412</v>
      </c>
    </row>
    <row r="65" customFormat="false" ht="15" hidden="true" customHeight="false" outlineLevel="0" collapsed="false">
      <c r="B65" s="31"/>
      <c r="C65" s="59" t="s">
        <v>156</v>
      </c>
      <c r="D65" s="55"/>
      <c r="E65" s="10"/>
      <c r="F65" s="10" t="n">
        <v>-715413</v>
      </c>
      <c r="G65" s="10" t="n">
        <f aca="false">+E65+F65</f>
        <v>-715413</v>
      </c>
      <c r="H65" s="18"/>
      <c r="I65" s="10" t="n">
        <f aca="false">+'Hoja de trabajo'!B92</f>
        <v>-11886832</v>
      </c>
      <c r="K65" s="10"/>
      <c r="L65" s="10"/>
      <c r="M65" s="10"/>
      <c r="N65" s="18"/>
      <c r="O65" s="10"/>
      <c r="Q65" s="10"/>
      <c r="R65" s="10"/>
      <c r="S65" s="10"/>
      <c r="T65" s="18"/>
      <c r="U65" s="10"/>
    </row>
    <row r="66" customFormat="false" ht="15" hidden="false" customHeight="false" outlineLevel="0" collapsed="false">
      <c r="B66" s="31"/>
      <c r="C66" s="59" t="s">
        <v>157</v>
      </c>
      <c r="D66" s="55"/>
      <c r="E66" s="10" t="n">
        <v>-5488035</v>
      </c>
      <c r="F66" s="10" t="n">
        <v>-3373023</v>
      </c>
      <c r="G66" s="10" t="n">
        <f aca="false">+E66+F66</f>
        <v>-8861058</v>
      </c>
      <c r="H66" s="18"/>
      <c r="I66" s="10" t="n">
        <f aca="false">+G66+H66</f>
        <v>-8861058</v>
      </c>
      <c r="K66" s="10"/>
      <c r="L66" s="10"/>
      <c r="M66" s="10"/>
      <c r="N66" s="18"/>
      <c r="O66" s="10"/>
      <c r="Q66" s="10"/>
      <c r="R66" s="10"/>
      <c r="S66" s="10"/>
      <c r="T66" s="18"/>
      <c r="U66" s="10"/>
    </row>
    <row r="67" customFormat="false" ht="15" hidden="false" customHeight="false" outlineLevel="0" collapsed="false">
      <c r="B67" s="31"/>
      <c r="C67" s="46" t="s">
        <v>158</v>
      </c>
      <c r="D67" s="55"/>
      <c r="E67" s="10"/>
      <c r="F67" s="10"/>
      <c r="G67" s="10" t="n">
        <f aca="false">+E67+F67</f>
        <v>0</v>
      </c>
      <c r="H67" s="18"/>
      <c r="I67" s="10" t="n">
        <f aca="false">+'Hoja de trabajo'!L7+'Hoja de trabajo'!L19</f>
        <v>1906239</v>
      </c>
      <c r="K67" s="10" t="n">
        <v>-7134782</v>
      </c>
      <c r="L67" s="10"/>
      <c r="M67" s="10" t="n">
        <f aca="false">+K67+L67</f>
        <v>-7134782</v>
      </c>
      <c r="N67" s="18"/>
      <c r="O67" s="10" t="n">
        <f aca="false">+M67+N67</f>
        <v>-7134782</v>
      </c>
      <c r="Q67" s="10" t="n">
        <v>-8370991</v>
      </c>
      <c r="R67" s="10" t="n">
        <v>0</v>
      </c>
      <c r="S67" s="10" t="n">
        <f aca="false">+Q67+R67</f>
        <v>-8370991</v>
      </c>
      <c r="T67" s="18"/>
      <c r="U67" s="10" t="n">
        <f aca="false">+S67+T67</f>
        <v>-8370991</v>
      </c>
    </row>
    <row r="68" customFormat="false" ht="15" hidden="true" customHeight="false" outlineLevel="0" collapsed="false">
      <c r="B68" s="31"/>
      <c r="C68" s="46" t="s">
        <v>159</v>
      </c>
      <c r="D68" s="55"/>
      <c r="E68" s="10"/>
      <c r="F68" s="10"/>
      <c r="G68" s="10" t="n">
        <f aca="false">+E68+F68</f>
        <v>0</v>
      </c>
      <c r="H68" s="18"/>
      <c r="I68" s="10" t="n">
        <f aca="false">+G68+H68</f>
        <v>0</v>
      </c>
      <c r="K68" s="10"/>
      <c r="L68" s="72"/>
      <c r="M68" s="10" t="n">
        <f aca="false">+K68+L68</f>
        <v>0</v>
      </c>
      <c r="N68" s="18"/>
      <c r="O68" s="10" t="n">
        <f aca="false">+M68+N68</f>
        <v>0</v>
      </c>
      <c r="Q68" s="10"/>
      <c r="R68" s="10"/>
      <c r="S68" s="10" t="n">
        <f aca="false">+Q68+R68</f>
        <v>0</v>
      </c>
      <c r="T68" s="18"/>
      <c r="U68" s="10" t="n">
        <f aca="false">+S68+T68</f>
        <v>0</v>
      </c>
    </row>
    <row r="69" customFormat="false" ht="15" hidden="false" customHeight="false" outlineLevel="0" collapsed="false">
      <c r="B69" s="73" t="s">
        <v>160</v>
      </c>
      <c r="C69" s="63"/>
      <c r="D69" s="64"/>
      <c r="E69" s="19" t="n">
        <f aca="false">SUM(E61:E68)</f>
        <v>-5488035</v>
      </c>
      <c r="F69" s="19" t="n">
        <f aca="false">SUM(F61:F68)</f>
        <v>-5694798</v>
      </c>
      <c r="G69" s="19" t="n">
        <f aca="false">SUM(G61:G68)</f>
        <v>-11182833</v>
      </c>
      <c r="H69" s="19" t="n">
        <f aca="false">SUM(H61:H68)</f>
        <v>0</v>
      </c>
      <c r="I69" s="19" t="n">
        <f aca="false">SUM(I61:I68)</f>
        <v>-18171140</v>
      </c>
      <c r="K69" s="19" t="n">
        <f aca="false">SUM(K61:K68)</f>
        <v>-14375635</v>
      </c>
      <c r="L69" s="19" t="n">
        <f aca="false">SUM(L61:L68)</f>
        <v>873161</v>
      </c>
      <c r="M69" s="19" t="n">
        <f aca="false">SUM(M61:M68)</f>
        <v>-13502474</v>
      </c>
      <c r="N69" s="19" t="n">
        <f aca="false">SUM(N61:N68)</f>
        <v>0</v>
      </c>
      <c r="O69" s="19" t="n">
        <f aca="false">SUM(O61:O68)</f>
        <v>-13502474</v>
      </c>
      <c r="Q69" s="19" t="n">
        <f aca="false">SUM(Q61:Q68)</f>
        <v>-13080375</v>
      </c>
      <c r="R69" s="19" t="n">
        <f aca="false">SUM(R61:R68)</f>
        <v>-3372028</v>
      </c>
      <c r="S69" s="19" t="n">
        <f aca="false">SUM(S61:S68)</f>
        <v>-16452403</v>
      </c>
      <c r="T69" s="19" t="n">
        <f aca="false">SUM(T61:T68)</f>
        <v>0</v>
      </c>
      <c r="U69" s="19" t="n">
        <f aca="false">SUM(U61:U68)</f>
        <v>-16452403</v>
      </c>
    </row>
    <row r="70" customFormat="false" ht="15" hidden="false" customHeight="false" outlineLevel="0" collapsed="false">
      <c r="B70" s="74" t="s">
        <v>161</v>
      </c>
      <c r="C70" s="63"/>
      <c r="D70" s="64"/>
      <c r="E70" s="75" t="n">
        <f aca="false">+E69+E58+E46</f>
        <v>49019229</v>
      </c>
      <c r="F70" s="75" t="n">
        <f aca="false">+F69+F58+F46</f>
        <v>11212573</v>
      </c>
      <c r="G70" s="76" t="n">
        <f aca="false">+G69+G58+G46</f>
        <v>60231802</v>
      </c>
      <c r="H70" s="76" t="n">
        <f aca="false">+H69+H58+H46</f>
        <v>0</v>
      </c>
      <c r="I70" s="76" t="n">
        <f aca="false">+I69+I58+I46</f>
        <v>-9508341.7534</v>
      </c>
      <c r="K70" s="75" t="n">
        <f aca="false">+K69+K58+K46</f>
        <v>8321784</v>
      </c>
      <c r="L70" s="75" t="n">
        <f aca="false">+L69+L58+L46</f>
        <v>6782259</v>
      </c>
      <c r="M70" s="76" t="n">
        <f aca="false">+M69+M58+M46</f>
        <v>15104043</v>
      </c>
      <c r="N70" s="77" t="n">
        <f aca="false">+N69+N58+N46</f>
        <v>-1716289.75</v>
      </c>
      <c r="O70" s="76" t="n">
        <f aca="false">+O69+O58+O46</f>
        <v>13387753.25</v>
      </c>
      <c r="Q70" s="75" t="n">
        <f aca="false">+Q69+Q58+Q46</f>
        <v>-9179235</v>
      </c>
      <c r="R70" s="75" t="n">
        <f aca="false">+R69+R58+R46</f>
        <v>-188600</v>
      </c>
      <c r="S70" s="76" t="n">
        <f aca="false">+S69+S58+S46</f>
        <v>-9844303</v>
      </c>
      <c r="T70" s="76" t="n">
        <f aca="false">+T69+T58+T46</f>
        <v>-12940</v>
      </c>
      <c r="U70" s="76" t="n">
        <f aca="false">+U69+U58+U46</f>
        <v>-9857243</v>
      </c>
    </row>
    <row r="71" customFormat="false" ht="15" hidden="false" customHeight="false" outlineLevel="0" collapsed="false">
      <c r="A71" s="46"/>
      <c r="K71" s="2"/>
      <c r="L71" s="2"/>
      <c r="M71" s="33" t="n">
        <f aca="false">+L70+K70-M70</f>
        <v>0</v>
      </c>
      <c r="N71" s="8"/>
    </row>
    <row r="72" customFormat="false" ht="15" hidden="false" customHeight="false" outlineLevel="0" collapsed="false">
      <c r="A72" s="31"/>
      <c r="B72" s="66" t="s">
        <v>162</v>
      </c>
      <c r="C72" s="52"/>
      <c r="D72" s="52"/>
      <c r="E72" s="6" t="n">
        <f aca="false">+E70</f>
        <v>49019229</v>
      </c>
      <c r="F72" s="6" t="n">
        <v>-188600</v>
      </c>
      <c r="G72" s="6" t="n">
        <f aca="false">+E72+F72</f>
        <v>48830629</v>
      </c>
      <c r="H72" s="17"/>
      <c r="I72" s="20" t="n">
        <f aca="false">+I70</f>
        <v>-9508341.7534</v>
      </c>
      <c r="K72" s="6" t="n">
        <f aca="false">+K70</f>
        <v>8321784</v>
      </c>
      <c r="L72" s="6" t="n">
        <f aca="false">+L70</f>
        <v>6782259</v>
      </c>
      <c r="M72" s="6" t="n">
        <f aca="false">+K72+L72</f>
        <v>15104043</v>
      </c>
      <c r="N72" s="17"/>
      <c r="O72" s="20" t="n">
        <f aca="false">+M72+N72</f>
        <v>15104043</v>
      </c>
      <c r="P72" s="52"/>
      <c r="Q72" s="6" t="n">
        <f aca="false">+Q70</f>
        <v>-9179235</v>
      </c>
      <c r="R72" s="6" t="n">
        <v>-188600</v>
      </c>
      <c r="S72" s="6" t="n">
        <f aca="false">+Q72+R72</f>
        <v>-9367835</v>
      </c>
      <c r="T72" s="17"/>
      <c r="U72" s="20" t="n">
        <f aca="false">+S72+T72</f>
        <v>-9367835</v>
      </c>
    </row>
    <row r="73" customFormat="false" ht="15" hidden="false" customHeight="false" outlineLevel="0" collapsed="false">
      <c r="A73" s="31"/>
      <c r="B73" s="31" t="s">
        <v>163</v>
      </c>
      <c r="C73" s="46"/>
      <c r="D73" s="46"/>
      <c r="E73" s="10" t="n">
        <f aca="false">+K74</f>
        <v>9668514</v>
      </c>
      <c r="F73" s="10" t="n">
        <f aca="false">+L74</f>
        <v>7367583</v>
      </c>
      <c r="G73" s="10" t="n">
        <f aca="false">+E73+F73</f>
        <v>17036097</v>
      </c>
      <c r="H73" s="18"/>
      <c r="I73" s="71" t="n">
        <f aca="false">+'Hoja de trabajo'!D5-'Hoja de trabajo'!M5</f>
        <v>7588800</v>
      </c>
      <c r="K73" s="10" t="n">
        <v>1346730</v>
      </c>
      <c r="L73" s="10" t="n">
        <v>585324</v>
      </c>
      <c r="M73" s="10" t="n">
        <f aca="false">+K73+L73</f>
        <v>1932054</v>
      </c>
      <c r="N73" s="18"/>
      <c r="O73" s="71" t="n">
        <f aca="false">+M73</f>
        <v>1932054</v>
      </c>
      <c r="P73" s="46"/>
      <c r="Q73" s="10" t="n">
        <v>10525965</v>
      </c>
      <c r="R73" s="10" t="n">
        <v>773924</v>
      </c>
      <c r="S73" s="10" t="n">
        <f aca="false">+Q73+R73</f>
        <v>11299889</v>
      </c>
      <c r="T73" s="18"/>
      <c r="U73" s="71" t="n">
        <f aca="false">+S73</f>
        <v>11299889</v>
      </c>
    </row>
    <row r="74" customFormat="false" ht="15" hidden="false" customHeight="false" outlineLevel="0" collapsed="false">
      <c r="A74" s="31"/>
      <c r="B74" s="78" t="s">
        <v>164</v>
      </c>
      <c r="C74" s="38"/>
      <c r="D74" s="38"/>
      <c r="E74" s="19" t="n">
        <f aca="false">E72+E73</f>
        <v>58687743</v>
      </c>
      <c r="F74" s="19" t="n">
        <f aca="false">F72+F73</f>
        <v>7178983</v>
      </c>
      <c r="G74" s="19" t="n">
        <f aca="false">+G72+G73</f>
        <v>65866726</v>
      </c>
      <c r="H74" s="19" t="n">
        <f aca="false">+H72+H73</f>
        <v>0</v>
      </c>
      <c r="I74" s="19" t="n">
        <f aca="false">+I72+I73</f>
        <v>-1919541.7534</v>
      </c>
      <c r="K74" s="19" t="n">
        <f aca="false">K72+K73</f>
        <v>9668514</v>
      </c>
      <c r="L74" s="19" t="n">
        <f aca="false">L72+L73</f>
        <v>7367583</v>
      </c>
      <c r="M74" s="19" t="n">
        <f aca="false">+M72+M73</f>
        <v>17036097</v>
      </c>
      <c r="N74" s="19" t="n">
        <f aca="false">+N72+N73</f>
        <v>0</v>
      </c>
      <c r="O74" s="19" t="n">
        <f aca="false">+O72+O73</f>
        <v>17036097</v>
      </c>
      <c r="P74" s="38"/>
      <c r="Q74" s="19" t="n">
        <f aca="false">Q72+Q73</f>
        <v>1346730</v>
      </c>
      <c r="R74" s="19" t="n">
        <f aca="false">R72+R73</f>
        <v>585324</v>
      </c>
      <c r="S74" s="19" t="n">
        <f aca="false">+S72+S73</f>
        <v>1932054</v>
      </c>
      <c r="T74" s="19" t="n">
        <f aca="false">+T72+T73</f>
        <v>0</v>
      </c>
      <c r="U74" s="19" t="n">
        <f aca="false">+U72+U73</f>
        <v>1932054</v>
      </c>
    </row>
    <row r="75" customFormat="false" ht="15" hidden="false" customHeight="false" outlineLevel="0" collapsed="false">
      <c r="A75" s="46"/>
      <c r="I75" s="79" t="n">
        <f aca="false">+'Hoja de trabajo'!B5-'Hoja de trabajo'!K5-I74</f>
        <v>13713982.7534</v>
      </c>
      <c r="K75" s="2"/>
      <c r="L75" s="2"/>
      <c r="N75" s="8"/>
    </row>
    <row r="76" customFormat="false" ht="15" hidden="false" customHeight="false" outlineLevel="0" collapsed="false">
      <c r="I76" s="33"/>
      <c r="K76" s="2"/>
      <c r="L76" s="2"/>
      <c r="N76" s="8"/>
    </row>
    <row r="77" customFormat="false" ht="15" hidden="false" customHeight="false" outlineLevel="0" collapsed="false">
      <c r="G77" s="2"/>
      <c r="H77" s="2"/>
      <c r="I77" s="2"/>
      <c r="K77" s="2"/>
      <c r="L77" s="2"/>
      <c r="N77" s="8"/>
      <c r="S77" s="2"/>
      <c r="T77" s="2"/>
      <c r="U77" s="2"/>
    </row>
    <row r="78" customFormat="false" ht="15" hidden="false" customHeight="false" outlineLevel="0" collapsed="false">
      <c r="F78" s="46"/>
      <c r="G78" s="46"/>
      <c r="I78" s="33"/>
      <c r="K78" s="7" t="s">
        <v>77</v>
      </c>
      <c r="L78" s="52"/>
      <c r="M78" s="52"/>
      <c r="N78" s="8"/>
      <c r="R78" s="46"/>
      <c r="S78" s="46"/>
    </row>
    <row r="79" customFormat="false" ht="15" hidden="false" customHeight="false" outlineLevel="0" collapsed="false">
      <c r="F79" s="46"/>
      <c r="G79" s="46"/>
      <c r="K79" s="2" t="s">
        <v>78</v>
      </c>
      <c r="N79" s="8"/>
      <c r="R79" s="46"/>
      <c r="S79" s="46"/>
    </row>
  </sheetData>
  <mergeCells count="4">
    <mergeCell ref="B9:D9"/>
    <mergeCell ref="C14:D14"/>
    <mergeCell ref="C49:D49"/>
    <mergeCell ref="C52:D52"/>
  </mergeCells>
  <printOptions headings="false" gridLines="false" gridLinesSet="true" horizontalCentered="false" verticalCentered="false"/>
  <pageMargins left="0.7" right="0.7" top="0.75" bottom="0.75" header="0.511805555555555" footer="0.511805555555555"/>
  <pageSetup paperSize="1" scale="5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4"/>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M34" activeCellId="0" sqref="M34"/>
    </sheetView>
  </sheetViews>
  <sheetFormatPr defaultColWidth="11.43359375" defaultRowHeight="15" zeroHeight="false" outlineLevelRow="0" outlineLevelCol="0"/>
  <cols>
    <col collapsed="false" customWidth="true" hidden="false" outlineLevel="0" max="1" min="1" style="80" width="38.86"/>
    <col collapsed="false" customWidth="true" hidden="false" outlineLevel="0" max="2" min="2" style="81" width="11.99"/>
    <col collapsed="false" customWidth="true" hidden="false" outlineLevel="0" max="3" min="3" style="80" width="11.57"/>
    <col collapsed="false" customWidth="true" hidden="false" outlineLevel="0" max="4" min="4" style="80" width="11.71"/>
    <col collapsed="false" customWidth="true" hidden="true" outlineLevel="0" max="5" min="5" style="82" width="11.57"/>
    <col collapsed="false" customWidth="true" hidden="true" outlineLevel="0" max="6" min="6" style="80" width="11.71"/>
    <col collapsed="false" customWidth="true" hidden="true" outlineLevel="0" max="7" min="7" style="82" width="10.99"/>
    <col collapsed="false" customWidth="true" hidden="true" outlineLevel="0" max="8" min="8" style="80" width="11.71"/>
    <col collapsed="false" customWidth="true" hidden="false" outlineLevel="0" max="9" min="9" style="80" width="1.71"/>
    <col collapsed="false" customWidth="true" hidden="false" outlineLevel="0" max="10" min="10" style="80" width="41.57"/>
    <col collapsed="false" customWidth="true" hidden="false" outlineLevel="0" max="11" min="11" style="81" width="11.99"/>
    <col collapsed="false" customWidth="true" hidden="false" outlineLevel="0" max="13" min="12" style="80" width="11.71"/>
    <col collapsed="false" customWidth="true" hidden="true" outlineLevel="0" max="14" min="14" style="82" width="10.58"/>
    <col collapsed="false" customWidth="true" hidden="true" outlineLevel="0" max="15" min="15" style="80" width="11.71"/>
    <col collapsed="false" customWidth="true" hidden="true" outlineLevel="0" max="16" min="16" style="82" width="10.58"/>
    <col collapsed="false" customWidth="true" hidden="true" outlineLevel="0" max="17" min="17" style="80" width="11.99"/>
    <col collapsed="false" customWidth="true" hidden="true" outlineLevel="0" max="18" min="18" style="83" width="11.57"/>
    <col collapsed="false" customWidth="false" hidden="false" outlineLevel="0" max="19" min="19" style="80" width="11.42"/>
    <col collapsed="false" customWidth="true" hidden="false" outlineLevel="0" max="20" min="20" style="80" width="13.29"/>
    <col collapsed="false" customWidth="false" hidden="false" outlineLevel="0" max="1024" min="21" style="80" width="11.42"/>
  </cols>
  <sheetData>
    <row r="1" s="80" customFormat="true" ht="9" hidden="false" customHeight="true" outlineLevel="0" collapsed="false">
      <c r="A1" s="84"/>
      <c r="C1" s="84"/>
      <c r="D1" s="84"/>
      <c r="E1" s="85"/>
      <c r="F1" s="86"/>
      <c r="G1" s="85"/>
      <c r="H1" s="84"/>
      <c r="I1" s="86"/>
      <c r="J1" s="84"/>
      <c r="L1" s="84"/>
      <c r="M1" s="84"/>
      <c r="N1" s="85"/>
      <c r="O1" s="86"/>
      <c r="P1" s="85"/>
      <c r="Q1" s="87"/>
      <c r="R1" s="83"/>
    </row>
    <row r="2" customFormat="false" ht="12" hidden="false" customHeight="true" outlineLevel="0" collapsed="false">
      <c r="A2" s="86" t="s">
        <v>165</v>
      </c>
      <c r="B2" s="88" t="n">
        <v>2020</v>
      </c>
      <c r="C2" s="89"/>
      <c r="D2" s="89" t="n">
        <v>2019</v>
      </c>
      <c r="E2" s="90"/>
      <c r="F2" s="89" t="n">
        <v>2017</v>
      </c>
      <c r="G2" s="91"/>
      <c r="H2" s="86" t="n">
        <v>2016</v>
      </c>
      <c r="I2" s="92"/>
      <c r="J2" s="86" t="s">
        <v>166</v>
      </c>
      <c r="K2" s="93" t="n">
        <v>2020</v>
      </c>
      <c r="L2" s="89"/>
      <c r="M2" s="89" t="n">
        <v>2019</v>
      </c>
      <c r="N2" s="90"/>
      <c r="O2" s="89" t="n">
        <v>2017</v>
      </c>
      <c r="P2" s="91"/>
      <c r="Q2" s="92" t="n">
        <v>2016</v>
      </c>
      <c r="S2" s="94"/>
      <c r="T2" s="95"/>
      <c r="U2" s="95"/>
    </row>
    <row r="3" customFormat="false" ht="12" hidden="false" customHeight="true" outlineLevel="0" collapsed="false">
      <c r="A3" s="84"/>
      <c r="B3" s="96"/>
      <c r="C3" s="97"/>
      <c r="D3" s="97"/>
      <c r="E3" s="98"/>
      <c r="F3" s="99"/>
      <c r="G3" s="85"/>
      <c r="H3" s="84"/>
      <c r="I3" s="86"/>
      <c r="J3" s="84"/>
      <c r="K3" s="96"/>
      <c r="L3" s="100"/>
      <c r="M3" s="97"/>
      <c r="N3" s="98"/>
      <c r="O3" s="97"/>
      <c r="P3" s="85"/>
      <c r="Q3" s="84"/>
    </row>
    <row r="4" customFormat="false" ht="12" hidden="false" customHeight="true" outlineLevel="0" collapsed="false">
      <c r="A4" s="101" t="s">
        <v>167</v>
      </c>
      <c r="B4" s="96"/>
      <c r="C4" s="102"/>
      <c r="D4" s="102"/>
      <c r="E4" s="98"/>
      <c r="F4" s="99"/>
      <c r="G4" s="85"/>
      <c r="H4" s="101"/>
      <c r="I4" s="86"/>
      <c r="J4" s="103" t="s">
        <v>168</v>
      </c>
      <c r="K4" s="96"/>
      <c r="L4" s="104"/>
      <c r="M4" s="105"/>
      <c r="N4" s="98"/>
      <c r="O4" s="106"/>
      <c r="P4" s="85"/>
      <c r="Q4" s="107"/>
    </row>
    <row r="5" customFormat="false" ht="12" hidden="false" customHeight="true" outlineLevel="0" collapsed="false">
      <c r="A5" s="108" t="s">
        <v>169</v>
      </c>
      <c r="B5" s="109" t="n">
        <f aca="false">+'BG '!I8</f>
        <v>23111567</v>
      </c>
      <c r="C5" s="110" t="n">
        <f aca="false">+D5-B5</f>
        <v>-15471991</v>
      </c>
      <c r="D5" s="109" t="n">
        <f aca="false">+'BG '!O8</f>
        <v>7639576</v>
      </c>
      <c r="E5" s="110" t="n">
        <f aca="false">+F5-D5</f>
        <v>-5897014</v>
      </c>
      <c r="F5" s="111" t="n">
        <f aca="false">'[1]Planilla Final 2017'!R5</f>
        <v>1742562</v>
      </c>
      <c r="G5" s="112" t="n">
        <f aca="false">F5-H5</f>
        <v>-9053595</v>
      </c>
      <c r="H5" s="113" t="n">
        <v>10796157</v>
      </c>
      <c r="I5" s="86"/>
      <c r="J5" s="108" t="s">
        <v>170</v>
      </c>
      <c r="K5" s="109" t="n">
        <f aca="false">+'BG '!I38</f>
        <v>11317126</v>
      </c>
      <c r="L5" s="110" t="n">
        <f aca="false">+K5-M5</f>
        <v>11266350</v>
      </c>
      <c r="M5" s="109" t="n">
        <f aca="false">+'BG '!O38</f>
        <v>50776</v>
      </c>
      <c r="N5" s="110" t="n">
        <f aca="false">+M5-O5</f>
        <v>-209626</v>
      </c>
      <c r="O5" s="114" t="n">
        <f aca="false">'[1]Planilla Final 2017'!R24</f>
        <v>260402</v>
      </c>
      <c r="P5" s="112" t="n">
        <f aca="false">+O5-Q5</f>
        <v>61512</v>
      </c>
      <c r="Q5" s="115" t="n">
        <v>198890</v>
      </c>
      <c r="R5" s="116" t="n">
        <f aca="false">+D5-M5</f>
        <v>7588800</v>
      </c>
      <c r="S5" s="117"/>
      <c r="T5" s="118"/>
      <c r="U5" s="118"/>
    </row>
    <row r="6" customFormat="false" ht="12" hidden="false" customHeight="true" outlineLevel="0" collapsed="false">
      <c r="A6" s="108" t="s">
        <v>171</v>
      </c>
      <c r="B6" s="109" t="n">
        <f aca="false">+'BG '!I9</f>
        <v>3119911</v>
      </c>
      <c r="C6" s="110" t="n">
        <f aca="false">+D6-B6</f>
        <v>-3107992</v>
      </c>
      <c r="D6" s="109" t="n">
        <f aca="false">+'BG '!O9</f>
        <v>11919</v>
      </c>
      <c r="E6" s="110" t="n">
        <f aca="false">+F6-D6</f>
        <v>90701</v>
      </c>
      <c r="F6" s="111" t="n">
        <f aca="false">'[1]Planilla Final 2017'!R7</f>
        <v>102620</v>
      </c>
      <c r="G6" s="112" t="n">
        <f aca="false">F6-H6</f>
        <v>-5828169</v>
      </c>
      <c r="H6" s="113" t="n">
        <v>5930789</v>
      </c>
      <c r="I6" s="84"/>
      <c r="J6" s="108" t="s">
        <v>172</v>
      </c>
      <c r="K6" s="109" t="n">
        <f aca="false">+'BG '!I39</f>
        <v>38663</v>
      </c>
      <c r="L6" s="110" t="n">
        <f aca="false">+K6-M6</f>
        <v>-5069709</v>
      </c>
      <c r="M6" s="109" t="n">
        <f aca="false">+'BG '!O39</f>
        <v>5108372</v>
      </c>
      <c r="N6" s="110" t="n">
        <f aca="false">+M6-O6</f>
        <v>-8305303</v>
      </c>
      <c r="O6" s="119" t="n">
        <f aca="false">'[1]Planilla Final 2017'!R25</f>
        <v>13413675</v>
      </c>
      <c r="P6" s="112" t="n">
        <f aca="false">+O6-Q6</f>
        <v>-4986126</v>
      </c>
      <c r="Q6" s="107" t="n">
        <f aca="false">31524342-198890-12925651</f>
        <v>18399801</v>
      </c>
      <c r="S6" s="120"/>
      <c r="T6" s="118"/>
      <c r="U6" s="118"/>
    </row>
    <row r="7" customFormat="false" ht="12" hidden="false" customHeight="true" outlineLevel="0" collapsed="false">
      <c r="A7" s="108" t="s">
        <v>25</v>
      </c>
      <c r="B7" s="109" t="n">
        <f aca="false">+'BG '!I10</f>
        <v>0</v>
      </c>
      <c r="C7" s="110" t="n">
        <f aca="false">+D7-B7</f>
        <v>3358789</v>
      </c>
      <c r="D7" s="109" t="n">
        <f aca="false">+'BG '!O10</f>
        <v>3358789</v>
      </c>
      <c r="E7" s="110" t="n">
        <f aca="false">+F7-D7</f>
        <v>-714334</v>
      </c>
      <c r="F7" s="111" t="n">
        <f aca="false">'[1]Planilla Final 2017'!R6</f>
        <v>2644455</v>
      </c>
      <c r="G7" s="112" t="n">
        <f aca="false">F7-H7</f>
        <v>593863</v>
      </c>
      <c r="H7" s="113" t="n">
        <v>2050592</v>
      </c>
      <c r="I7" s="86"/>
      <c r="J7" s="108" t="s">
        <v>173</v>
      </c>
      <c r="K7" s="109" t="n">
        <f aca="false">+'BG '!I40</f>
        <v>4390970</v>
      </c>
      <c r="L7" s="110" t="n">
        <f aca="false">+K7-M7</f>
        <v>1906239</v>
      </c>
      <c r="M7" s="109" t="n">
        <f aca="false">+'BG '!O40</f>
        <v>2484731</v>
      </c>
      <c r="N7" s="110" t="n">
        <f aca="false">+M7-O7</f>
        <v>-8974579</v>
      </c>
      <c r="O7" s="119" t="n">
        <f aca="false">'[1]Planilla Final 2017'!R26</f>
        <v>11459310</v>
      </c>
      <c r="P7" s="112" t="n">
        <f aca="false">+O7-Q7</f>
        <v>-1466341</v>
      </c>
      <c r="Q7" s="107" t="n">
        <v>12925651</v>
      </c>
      <c r="S7" s="120"/>
      <c r="T7" s="118"/>
      <c r="U7" s="118"/>
    </row>
    <row r="8" customFormat="false" ht="12" hidden="false" customHeight="true" outlineLevel="0" collapsed="false">
      <c r="A8" s="108" t="s">
        <v>174</v>
      </c>
      <c r="B8" s="109" t="n">
        <f aca="false">+'BG '!I12</f>
        <v>21914641</v>
      </c>
      <c r="C8" s="110" t="n">
        <f aca="false">+D8-B8</f>
        <v>-9301695</v>
      </c>
      <c r="D8" s="109" t="n">
        <f aca="false">+'BG '!O12</f>
        <v>12612946</v>
      </c>
      <c r="E8" s="110" t="n">
        <f aca="false">+F8-D8</f>
        <v>2950458</v>
      </c>
      <c r="F8" s="111" t="n">
        <f aca="false">'[1]Planilla Final 2017'!R8</f>
        <v>15563404</v>
      </c>
      <c r="G8" s="112" t="n">
        <f aca="false">F8-H8</f>
        <v>1100909</v>
      </c>
      <c r="H8" s="113" t="n">
        <v>14462495</v>
      </c>
      <c r="I8" s="86"/>
      <c r="J8" s="108" t="s">
        <v>175</v>
      </c>
      <c r="K8" s="109" t="n">
        <f aca="false">+'BG '!I42</f>
        <v>29764270</v>
      </c>
      <c r="L8" s="110" t="n">
        <f aca="false">+K8-M8</f>
        <v>6692124</v>
      </c>
      <c r="M8" s="109" t="n">
        <f aca="false">+'BG '!O42</f>
        <v>23072146</v>
      </c>
      <c r="N8" s="110" t="n">
        <f aca="false">+M8-O8</f>
        <v>2636101</v>
      </c>
      <c r="O8" s="119" t="n">
        <f aca="false">'[1]Planilla Final 2017'!R27</f>
        <v>20436045</v>
      </c>
      <c r="P8" s="112" t="n">
        <f aca="false">+O8-Q8</f>
        <v>1910661</v>
      </c>
      <c r="Q8" s="107" t="n">
        <v>18525384</v>
      </c>
      <c r="S8" s="120"/>
      <c r="T8" s="118"/>
      <c r="U8" s="118"/>
    </row>
    <row r="9" customFormat="false" ht="12" hidden="false" customHeight="true" outlineLevel="0" collapsed="false">
      <c r="A9" s="108" t="s">
        <v>176</v>
      </c>
      <c r="B9" s="109" t="n">
        <f aca="false">+'BG '!I13</f>
        <v>66659865</v>
      </c>
      <c r="C9" s="110" t="n">
        <f aca="false">+D9-B9</f>
        <v>-40039761</v>
      </c>
      <c r="D9" s="109" t="n">
        <f aca="false">+'BG '!O13</f>
        <v>26620104</v>
      </c>
      <c r="E9" s="110" t="n">
        <f aca="false">+F9-D9</f>
        <v>-1545107</v>
      </c>
      <c r="F9" s="111" t="n">
        <f aca="false">'[1]Planilla Final 2017'!R9</f>
        <v>25074997</v>
      </c>
      <c r="G9" s="112" t="n">
        <f aca="false">F9-H9</f>
        <v>11254398</v>
      </c>
      <c r="H9" s="113" t="n">
        <v>13820599</v>
      </c>
      <c r="I9" s="86"/>
      <c r="J9" s="108" t="s">
        <v>177</v>
      </c>
      <c r="K9" s="109" t="n">
        <f aca="false">+'BG '!I43</f>
        <v>30808474</v>
      </c>
      <c r="L9" s="110" t="n">
        <f aca="false">+K9-M9</f>
        <v>25889000</v>
      </c>
      <c r="M9" s="109" t="n">
        <f aca="false">+'BG '!O43</f>
        <v>4919474</v>
      </c>
      <c r="N9" s="110" t="n">
        <f aca="false">+M9-O9</f>
        <v>3005845</v>
      </c>
      <c r="O9" s="119" t="n">
        <f aca="false">'[1]Planilla Final 2017'!R28</f>
        <v>1913629</v>
      </c>
      <c r="P9" s="112" t="n">
        <f aca="false">+O9-Q9</f>
        <v>1651239</v>
      </c>
      <c r="Q9" s="107" t="n">
        <v>262390</v>
      </c>
      <c r="T9" s="118"/>
      <c r="U9" s="118"/>
    </row>
    <row r="10" customFormat="false" ht="12" hidden="false" customHeight="true" outlineLevel="0" collapsed="false">
      <c r="A10" s="108" t="s">
        <v>30</v>
      </c>
      <c r="B10" s="109" t="n">
        <f aca="false">+'BG '!I15</f>
        <v>7057883</v>
      </c>
      <c r="C10" s="110" t="n">
        <f aca="false">+D10-B10</f>
        <v>-5084041</v>
      </c>
      <c r="D10" s="109" t="n">
        <f aca="false">+'BG '!O15</f>
        <v>1973842</v>
      </c>
      <c r="E10" s="110" t="n">
        <f aca="false">+F10-D10</f>
        <v>-849063</v>
      </c>
      <c r="F10" s="111" t="n">
        <f aca="false">'[1]Planilla Final 2017'!R11</f>
        <v>1124779</v>
      </c>
      <c r="G10" s="112" t="n">
        <f aca="false">F10-H10</f>
        <v>-685042</v>
      </c>
      <c r="H10" s="113" t="n">
        <v>1809821</v>
      </c>
      <c r="I10" s="86"/>
      <c r="J10" s="108" t="s">
        <v>178</v>
      </c>
      <c r="K10" s="109" t="n">
        <f aca="false">+'BG '!I45</f>
        <v>2587795</v>
      </c>
      <c r="L10" s="110" t="n">
        <f aca="false">+K10-M10</f>
        <v>-6333451</v>
      </c>
      <c r="M10" s="109" t="n">
        <f aca="false">+'BG '!O45</f>
        <v>8921246</v>
      </c>
      <c r="N10" s="110" t="n">
        <f aca="false">+M10-O10</f>
        <v>4646339</v>
      </c>
      <c r="O10" s="119" t="n">
        <f aca="false">'[1]Planilla Final 2017'!R29</f>
        <v>4274907</v>
      </c>
      <c r="P10" s="112" t="n">
        <f aca="false">+O10-Q10</f>
        <v>130512</v>
      </c>
      <c r="Q10" s="107" t="n">
        <v>4144395</v>
      </c>
      <c r="T10" s="118"/>
      <c r="U10" s="118"/>
    </row>
    <row r="11" customFormat="false" ht="12" hidden="false" customHeight="true" outlineLevel="0" collapsed="false">
      <c r="A11" s="108" t="s">
        <v>37</v>
      </c>
      <c r="B11" s="109" t="n">
        <f aca="false">+'BG '!I14</f>
        <v>12430624</v>
      </c>
      <c r="C11" s="110" t="n">
        <f aca="false">+D11-B11</f>
        <v>5626424</v>
      </c>
      <c r="D11" s="109" t="n">
        <f aca="false">+'BG '!O14</f>
        <v>18057048</v>
      </c>
      <c r="E11" s="110" t="n">
        <f aca="false">+F11-D11</f>
        <v>-12518600</v>
      </c>
      <c r="F11" s="111" t="n">
        <f aca="false">'[1]Planilla Final 2017'!R10</f>
        <v>5538448</v>
      </c>
      <c r="G11" s="112" t="n">
        <f aca="false">F11-H11</f>
        <v>2963608</v>
      </c>
      <c r="H11" s="113" t="n">
        <v>2574840</v>
      </c>
      <c r="I11" s="86"/>
      <c r="J11" s="108" t="s">
        <v>131</v>
      </c>
      <c r="K11" s="109" t="n">
        <f aca="false">+'BG '!I46</f>
        <v>10982116</v>
      </c>
      <c r="L11" s="110" t="n">
        <f aca="false">+K11-M11</f>
        <v>7108025</v>
      </c>
      <c r="M11" s="109" t="n">
        <f aca="false">+'BG '!O46</f>
        <v>3874091</v>
      </c>
      <c r="N11" s="110" t="n">
        <f aca="false">+M11-O11</f>
        <v>185723</v>
      </c>
      <c r="O11" s="119" t="n">
        <f aca="false">'[1]Planilla Final 2017'!R30</f>
        <v>3688368</v>
      </c>
      <c r="P11" s="112" t="n">
        <f aca="false">+O11-Q11</f>
        <v>-31613</v>
      </c>
      <c r="Q11" s="107" t="n">
        <f aca="false">783153+2936828</f>
        <v>3719981</v>
      </c>
      <c r="T11" s="118"/>
      <c r="U11" s="118"/>
    </row>
    <row r="12" customFormat="false" ht="12" hidden="false" customHeight="true" outlineLevel="0" collapsed="false">
      <c r="A12" s="108" t="s">
        <v>31</v>
      </c>
      <c r="B12" s="109" t="n">
        <f aca="false">+'BG '!I16</f>
        <v>6261136</v>
      </c>
      <c r="C12" s="110" t="n">
        <f aca="false">+D12-B12</f>
        <v>-5513872</v>
      </c>
      <c r="D12" s="109" t="n">
        <f aca="false">+'BG '!O16</f>
        <v>747264</v>
      </c>
      <c r="E12" s="110" t="n">
        <f aca="false">+F12-D12</f>
        <v>-105080</v>
      </c>
      <c r="F12" s="111" t="n">
        <f aca="false">'[1]Planilla Final 2017'!R12</f>
        <v>642184</v>
      </c>
      <c r="G12" s="112" t="n">
        <f aca="false">F12-H12</f>
        <v>-1728719</v>
      </c>
      <c r="H12" s="113" t="n">
        <v>2370903</v>
      </c>
      <c r="I12" s="84"/>
      <c r="J12" s="108" t="s">
        <v>58</v>
      </c>
      <c r="K12" s="109" t="n">
        <f aca="false">+'BG '!I47</f>
        <v>1820671</v>
      </c>
      <c r="L12" s="110" t="n">
        <f aca="false">+K12-M12</f>
        <v>386827</v>
      </c>
      <c r="M12" s="109" t="n">
        <f aca="false">+'BG '!O47</f>
        <v>1433844</v>
      </c>
      <c r="N12" s="110" t="n">
        <f aca="false">+M12-O12</f>
        <v>-4702711</v>
      </c>
      <c r="O12" s="119" t="n">
        <f aca="false">'[1]Planilla Final 2017'!R31+'[1]Planilla Final 2017'!R33</f>
        <v>6136555</v>
      </c>
      <c r="P12" s="112" t="n">
        <f aca="false">+O12-Q12</f>
        <v>-2446877</v>
      </c>
      <c r="Q12" s="107" t="n">
        <f aca="false">4358272+4225160</f>
        <v>8583432</v>
      </c>
      <c r="T12" s="118"/>
      <c r="U12" s="118"/>
    </row>
    <row r="13" customFormat="false" ht="12" hidden="false" customHeight="true" outlineLevel="0" collapsed="false">
      <c r="A13" s="108" t="s">
        <v>32</v>
      </c>
      <c r="B13" s="109" t="n">
        <f aca="false">+'BG '!I17</f>
        <v>28373524</v>
      </c>
      <c r="C13" s="110" t="n">
        <f aca="false">+D13-B13</f>
        <v>221118</v>
      </c>
      <c r="D13" s="109" t="n">
        <f aca="false">+'BG '!O17</f>
        <v>28594642</v>
      </c>
      <c r="E13" s="110" t="n">
        <f aca="false">+F13-D13</f>
        <v>-13709615</v>
      </c>
      <c r="F13" s="111" t="n">
        <f aca="false">'[1]Planilla Final 2017'!R13</f>
        <v>14885027</v>
      </c>
      <c r="G13" s="112" t="n">
        <f aca="false">F13-H13</f>
        <v>-4055589</v>
      </c>
      <c r="H13" s="121" t="n">
        <v>18940616</v>
      </c>
      <c r="I13" s="86"/>
      <c r="J13" s="80" t="s">
        <v>179</v>
      </c>
      <c r="K13" s="109" t="n">
        <f aca="false">+'BG '!I49</f>
        <v>0</v>
      </c>
      <c r="L13" s="110" t="n">
        <f aca="false">+K13-M13</f>
        <v>-2219217</v>
      </c>
      <c r="M13" s="109" t="n">
        <f aca="false">+'BG '!O49</f>
        <v>2219217</v>
      </c>
      <c r="N13" s="122"/>
      <c r="O13" s="96" t="n">
        <v>0</v>
      </c>
      <c r="P13" s="112" t="n">
        <f aca="false">+O14-Q13</f>
        <v>184123</v>
      </c>
      <c r="Q13" s="107" t="n">
        <v>4375344</v>
      </c>
      <c r="T13" s="118"/>
      <c r="U13" s="118"/>
    </row>
    <row r="14" customFormat="false" ht="12" hidden="false" customHeight="true" outlineLevel="0" collapsed="false">
      <c r="B14" s="123"/>
      <c r="C14" s="96"/>
      <c r="D14" s="96"/>
      <c r="E14" s="110"/>
      <c r="F14" s="124"/>
      <c r="G14" s="112"/>
      <c r="H14" s="125"/>
      <c r="I14" s="84"/>
      <c r="J14" s="108" t="s">
        <v>180</v>
      </c>
      <c r="K14" s="126" t="n">
        <f aca="false">+'BG '!I48</f>
        <v>10417562</v>
      </c>
      <c r="L14" s="110" t="n">
        <f aca="false">+K14-M14</f>
        <v>664045</v>
      </c>
      <c r="M14" s="126" t="n">
        <f aca="false">+'BG '!O48</f>
        <v>9753517</v>
      </c>
      <c r="N14" s="110" t="n">
        <f aca="false">+M14-O14</f>
        <v>5194050</v>
      </c>
      <c r="O14" s="119" t="n">
        <f aca="false">'[1]Planilla Final 2017'!R32</f>
        <v>4559467</v>
      </c>
      <c r="T14" s="118"/>
      <c r="U14" s="118"/>
    </row>
    <row r="15" customFormat="false" ht="12" hidden="false" customHeight="true" outlineLevel="0" collapsed="false">
      <c r="A15" s="101" t="s">
        <v>181</v>
      </c>
      <c r="B15" s="127" t="n">
        <f aca="false">SUM(B5:B13)</f>
        <v>168929151</v>
      </c>
      <c r="C15" s="110"/>
      <c r="D15" s="128" t="n">
        <f aca="false">SUM(D5:D13)</f>
        <v>99616130</v>
      </c>
      <c r="E15" s="110"/>
      <c r="F15" s="124"/>
      <c r="G15" s="112"/>
      <c r="H15" s="125"/>
      <c r="I15" s="86"/>
      <c r="J15" s="129" t="s">
        <v>182</v>
      </c>
      <c r="K15" s="109" t="n">
        <f aca="false">SUM(K5:K14)</f>
        <v>102127647</v>
      </c>
      <c r="L15" s="110"/>
      <c r="M15" s="130" t="n">
        <f aca="false">SUM(M5:M14)</f>
        <v>61837414</v>
      </c>
      <c r="N15" s="110"/>
      <c r="O15" s="131" t="n">
        <f aca="false">SUM(O5:O14)</f>
        <v>66142358</v>
      </c>
      <c r="P15" s="112"/>
      <c r="T15" s="118"/>
      <c r="U15" s="118"/>
    </row>
    <row r="16" customFormat="false" ht="12" hidden="false" customHeight="true" outlineLevel="0" collapsed="false">
      <c r="A16" s="108"/>
      <c r="B16" s="96"/>
      <c r="C16" s="110"/>
      <c r="D16" s="132"/>
      <c r="E16" s="110" t="n">
        <f aca="false">+F16-D18</f>
        <v>2851570</v>
      </c>
      <c r="F16" s="111" t="n">
        <f aca="false">'[1]Planilla Final 2017'!R15</f>
        <v>3212434</v>
      </c>
      <c r="G16" s="112" t="n">
        <f aca="false">F16-H16</f>
        <v>206140</v>
      </c>
      <c r="H16" s="113" t="n">
        <v>3006294</v>
      </c>
      <c r="I16" s="84"/>
      <c r="K16" s="109"/>
      <c r="L16" s="122"/>
      <c r="M16" s="96"/>
      <c r="N16" s="122"/>
      <c r="O16" s="96"/>
      <c r="P16" s="112" t="n">
        <f aca="false">+O18-Q16</f>
        <v>251068</v>
      </c>
      <c r="Q16" s="107" t="n">
        <f aca="false">23039030-13615166</f>
        <v>9423864</v>
      </c>
      <c r="T16" s="118"/>
      <c r="U16" s="118"/>
    </row>
    <row r="17" customFormat="false" ht="12" hidden="false" customHeight="true" outlineLevel="0" collapsed="false">
      <c r="A17" s="101" t="s">
        <v>183</v>
      </c>
      <c r="B17" s="96"/>
      <c r="C17" s="110"/>
      <c r="D17" s="132"/>
      <c r="E17" s="110" t="n">
        <f aca="false">+F17-D19</f>
        <v>1073025</v>
      </c>
      <c r="F17" s="96" t="n">
        <f aca="false">+'[1]Planilla Final 2017'!R14</f>
        <v>3150764</v>
      </c>
      <c r="G17" s="112" t="n">
        <f aca="false">F17-H17</f>
        <v>3150764</v>
      </c>
      <c r="H17" s="113" t="n">
        <v>0</v>
      </c>
      <c r="I17" s="86"/>
      <c r="J17" s="103" t="s">
        <v>184</v>
      </c>
      <c r="K17" s="109"/>
      <c r="L17" s="110"/>
      <c r="M17" s="105"/>
      <c r="N17" s="110"/>
      <c r="O17" s="96"/>
      <c r="P17" s="112" t="n">
        <f aca="false">+O19-Q17</f>
        <v>-6904650</v>
      </c>
      <c r="Q17" s="107" t="n">
        <v>13615166</v>
      </c>
      <c r="T17" s="118"/>
      <c r="U17" s="118"/>
    </row>
    <row r="18" customFormat="false" ht="12" hidden="false" customHeight="true" outlineLevel="0" collapsed="false">
      <c r="A18" s="108" t="s">
        <v>37</v>
      </c>
      <c r="B18" s="109" t="n">
        <f aca="false">+'BG '!I24</f>
        <v>2416446</v>
      </c>
      <c r="C18" s="110" t="n">
        <f aca="false">+D18-B18</f>
        <v>-2055582</v>
      </c>
      <c r="D18" s="109" t="n">
        <f aca="false">+'BG '!O24</f>
        <v>360864</v>
      </c>
      <c r="E18" s="110" t="n">
        <f aca="false">+F18-D20</f>
        <v>66493951.938548</v>
      </c>
      <c r="F18" s="111" t="n">
        <f aca="false">'[1]Planilla Final 2017'!R16</f>
        <v>112886401</v>
      </c>
      <c r="G18" s="112" t="n">
        <f aca="false">F18-H18</f>
        <v>-2499431</v>
      </c>
      <c r="H18" s="113" t="n">
        <v>115385832</v>
      </c>
      <c r="I18" s="86"/>
      <c r="J18" s="133" t="s">
        <v>185</v>
      </c>
      <c r="K18" s="109" t="n">
        <f aca="false">+'BG '!I54</f>
        <v>8303510</v>
      </c>
      <c r="L18" s="110" t="n">
        <f aca="false">+K18-M18</f>
        <v>5740220</v>
      </c>
      <c r="M18" s="109" t="n">
        <f aca="false">+'BG '!O54</f>
        <v>2563290</v>
      </c>
      <c r="N18" s="110" t="n">
        <f aca="false">+M18-O18</f>
        <v>-7111642</v>
      </c>
      <c r="O18" s="134" t="n">
        <f aca="false">'[1]Planilla Final 2017'!R34</f>
        <v>9674932</v>
      </c>
      <c r="P18" s="112" t="n">
        <f aca="false">+O20-Q18</f>
        <v>-3509537</v>
      </c>
      <c r="Q18" s="107" t="n">
        <v>5713210</v>
      </c>
      <c r="T18" s="118"/>
      <c r="U18" s="118"/>
    </row>
    <row r="19" customFormat="false" ht="12" hidden="false" customHeight="true" outlineLevel="0" collapsed="false">
      <c r="A19" s="108" t="s">
        <v>176</v>
      </c>
      <c r="B19" s="109" t="n">
        <f aca="false">+'BG '!I23</f>
        <v>4372326</v>
      </c>
      <c r="C19" s="110" t="n">
        <f aca="false">+D19-B19</f>
        <v>-2294587</v>
      </c>
      <c r="D19" s="109" t="n">
        <f aca="false">+'BG '!O23</f>
        <v>2077739</v>
      </c>
      <c r="E19" s="110" t="n">
        <f aca="false">+F19-D21</f>
        <v>76954</v>
      </c>
      <c r="F19" s="111" t="n">
        <f aca="false">'[1]Planilla Final 2017'!R17</f>
        <v>661755</v>
      </c>
      <c r="G19" s="112" t="n">
        <f aca="false">F19-H19</f>
        <v>-39210</v>
      </c>
      <c r="H19" s="113" t="n">
        <v>700965</v>
      </c>
      <c r="I19" s="86"/>
      <c r="J19" s="133" t="s">
        <v>186</v>
      </c>
      <c r="K19" s="109" t="n">
        <f aca="false">+'BG '!I55</f>
        <v>0</v>
      </c>
      <c r="L19" s="110" t="n">
        <f aca="false">+K19-M19</f>
        <v>0</v>
      </c>
      <c r="M19" s="109" t="n">
        <f aca="false">+'BG '!O55</f>
        <v>0</v>
      </c>
      <c r="N19" s="110" t="n">
        <f aca="false">+M19-O19</f>
        <v>-6710516</v>
      </c>
      <c r="O19" s="134" t="n">
        <f aca="false">'[1]Planilla Final 2017'!R35</f>
        <v>6710516</v>
      </c>
      <c r="P19" s="112" t="n">
        <f aca="false">+O21-Q19</f>
        <v>2</v>
      </c>
      <c r="Q19" s="107" t="n">
        <v>10628878</v>
      </c>
      <c r="S19" s="135"/>
      <c r="T19" s="118"/>
      <c r="U19" s="118"/>
      <c r="W19" s="136"/>
      <c r="Y19" s="136"/>
    </row>
    <row r="20" customFormat="false" ht="12" hidden="false" customHeight="true" outlineLevel="0" collapsed="false">
      <c r="A20" s="108" t="s">
        <v>187</v>
      </c>
      <c r="B20" s="109" t="n">
        <f aca="false">+'BG '!I25</f>
        <v>67678909</v>
      </c>
      <c r="C20" s="110" t="n">
        <f aca="false">+D20-B20</f>
        <v>-21286459.938548</v>
      </c>
      <c r="D20" s="109" t="n">
        <f aca="false">+'BG '!O25</f>
        <v>46392449.061452</v>
      </c>
      <c r="E20" s="110" t="n">
        <f aca="false">+F20-D22</f>
        <v>-3411476</v>
      </c>
      <c r="F20" s="111" t="n">
        <f aca="false">'[1]Planilla Final 2017'!R18</f>
        <v>11276112</v>
      </c>
      <c r="G20" s="112" t="n">
        <f aca="false">F20-H20</f>
        <v>-841341</v>
      </c>
      <c r="H20" s="113" t="n">
        <v>12117453</v>
      </c>
      <c r="I20" s="86"/>
      <c r="J20" s="108" t="s">
        <v>175</v>
      </c>
      <c r="K20" s="109" t="n">
        <f aca="false">+'BG '!I57</f>
        <v>2535062</v>
      </c>
      <c r="L20" s="110" t="n">
        <f aca="false">+K20-M20</f>
        <v>2535062</v>
      </c>
      <c r="M20" s="109" t="n">
        <f aca="false">+'BG '!O57</f>
        <v>0</v>
      </c>
      <c r="N20" s="110" t="n">
        <f aca="false">+M20-O20</f>
        <v>-2203673</v>
      </c>
      <c r="O20" s="134" t="n">
        <f aca="false">'[1]Planilla Final 2017'!R36</f>
        <v>2203673</v>
      </c>
      <c r="P20" s="112" t="n">
        <f aca="false">+O22-Q20</f>
        <v>-477887</v>
      </c>
      <c r="Q20" s="107" t="n">
        <f aca="false">2766149+27717</f>
        <v>2793866</v>
      </c>
      <c r="T20" s="118"/>
      <c r="U20" s="118"/>
      <c r="V20" s="86"/>
      <c r="W20" s="136"/>
      <c r="X20" s="86"/>
      <c r="Y20" s="136"/>
    </row>
    <row r="21" customFormat="false" ht="12" hidden="false" customHeight="true" outlineLevel="0" collapsed="false">
      <c r="A21" s="108" t="s">
        <v>188</v>
      </c>
      <c r="B21" s="109" t="n">
        <f aca="false">+'BG '!I26</f>
        <v>953392</v>
      </c>
      <c r="C21" s="110" t="n">
        <f aca="false">+D21-B21</f>
        <v>-368591</v>
      </c>
      <c r="D21" s="109" t="n">
        <f aca="false">+'BG '!O26</f>
        <v>584801</v>
      </c>
      <c r="E21" s="110" t="n">
        <f aca="false">+F21-D23</f>
        <v>-251355</v>
      </c>
      <c r="F21" s="111" t="n">
        <f aca="false">'[1]Planilla Final 2017'!R19</f>
        <v>1422229</v>
      </c>
      <c r="G21" s="112" t="n">
        <f aca="false">F21-H21</f>
        <v>0</v>
      </c>
      <c r="H21" s="113" t="n">
        <v>1422229</v>
      </c>
      <c r="I21" s="86"/>
      <c r="J21" s="108" t="s">
        <v>177</v>
      </c>
      <c r="K21" s="109" t="n">
        <f aca="false">+'BG '!I58</f>
        <v>26543205</v>
      </c>
      <c r="L21" s="110" t="n">
        <f aca="false">+K21-M21</f>
        <v>26543205</v>
      </c>
      <c r="M21" s="109" t="n">
        <f aca="false">+'BG '!O58</f>
        <v>0</v>
      </c>
      <c r="N21" s="110" t="n">
        <f aca="false">+M21-O21</f>
        <v>-10628880</v>
      </c>
      <c r="O21" s="134" t="n">
        <f aca="false">'[1]Planilla Final 2017'!R37</f>
        <v>10628880</v>
      </c>
      <c r="P21" s="112" t="n">
        <f aca="false">+O23-Q21</f>
        <v>-610580</v>
      </c>
      <c r="Q21" s="107" t="n">
        <v>5796127</v>
      </c>
      <c r="T21" s="118"/>
      <c r="U21" s="118"/>
    </row>
    <row r="22" customFormat="false" ht="12" hidden="false" customHeight="true" outlineLevel="0" collapsed="false">
      <c r="A22" s="108" t="s">
        <v>189</v>
      </c>
      <c r="B22" s="109" t="n">
        <f aca="false">+'BG '!I27</f>
        <v>16248297</v>
      </c>
      <c r="C22" s="110" t="n">
        <f aca="false">+D22-B22</f>
        <v>-1560709</v>
      </c>
      <c r="D22" s="109" t="n">
        <f aca="false">+'BG '!O27</f>
        <v>14687588</v>
      </c>
      <c r="E22" s="110" t="n">
        <f aca="false">+F22-D24</f>
        <v>-35698843</v>
      </c>
      <c r="F22" s="111" t="n">
        <f aca="false">'[1]Planilla Final 2017'!R20</f>
        <v>3318028</v>
      </c>
      <c r="G22" s="112" t="n">
        <f aca="false">F22-H22</f>
        <v>-3227531</v>
      </c>
      <c r="H22" s="113" t="n">
        <v>6545559</v>
      </c>
      <c r="I22" s="86"/>
      <c r="J22" s="108" t="s">
        <v>131</v>
      </c>
      <c r="K22" s="109" t="n">
        <f aca="false">+'BG '!I59</f>
        <v>4811466</v>
      </c>
      <c r="L22" s="110" t="n">
        <f aca="false">+K22-M22</f>
        <v>-8834372</v>
      </c>
      <c r="M22" s="109" t="n">
        <f aca="false">+'BG '!O59</f>
        <v>13645838</v>
      </c>
      <c r="N22" s="110" t="n">
        <f aca="false">+M22-O22</f>
        <v>11329859</v>
      </c>
      <c r="O22" s="134" t="n">
        <f aca="false">'[1]Planilla Final 2017'!R38</f>
        <v>2315979</v>
      </c>
      <c r="P22" s="112" t="n">
        <f aca="false">+O24-Q22</f>
        <v>3116879</v>
      </c>
      <c r="Q22" s="107" t="n">
        <v>17696327</v>
      </c>
      <c r="T22" s="118"/>
      <c r="U22" s="118"/>
    </row>
    <row r="23" customFormat="false" ht="12" hidden="false" customHeight="true" outlineLevel="0" collapsed="false">
      <c r="A23" s="108" t="s">
        <v>42</v>
      </c>
      <c r="B23" s="109" t="n">
        <f aca="false">+'BG '!I29</f>
        <v>2110063</v>
      </c>
      <c r="C23" s="110" t="n">
        <f aca="false">+D23-B23</f>
        <v>-436479</v>
      </c>
      <c r="D23" s="109" t="n">
        <f aca="false">+'BG '!O29</f>
        <v>1673584</v>
      </c>
      <c r="E23" s="110" t="n">
        <f aca="false">+F23-D25</f>
        <v>4266160</v>
      </c>
      <c r="F23" s="111" t="n">
        <f aca="false">'[1]Planilla Final 2017'!R21+'[1]Planilla Final 2017'!R22</f>
        <v>4326687</v>
      </c>
      <c r="G23" s="112" t="n">
        <f aca="false">F23-H23</f>
        <v>1190535</v>
      </c>
      <c r="H23" s="113" t="n">
        <f aca="false">106009+3030143</f>
        <v>3136152</v>
      </c>
      <c r="I23" s="86"/>
      <c r="J23" s="108" t="s">
        <v>190</v>
      </c>
      <c r="K23" s="109" t="n">
        <f aca="false">+'BG '!I61</f>
        <v>9235679</v>
      </c>
      <c r="L23" s="110" t="n">
        <f aca="false">+K23-M23</f>
        <v>-525812</v>
      </c>
      <c r="M23" s="109" t="n">
        <f aca="false">+'BG '!O61</f>
        <v>9761491</v>
      </c>
      <c r="N23" s="110" t="n">
        <f aca="false">+M23-O23</f>
        <v>4575944</v>
      </c>
      <c r="O23" s="134" t="n">
        <f aca="false">'[1]Planilla Final 2017'!R39</f>
        <v>5185547</v>
      </c>
      <c r="P23" s="112" t="n">
        <f aca="false">+O25-Q23</f>
        <v>0</v>
      </c>
      <c r="Q23" s="107" t="n">
        <v>3572443</v>
      </c>
      <c r="T23" s="118"/>
      <c r="U23" s="118"/>
    </row>
    <row r="24" customFormat="false" ht="12" hidden="false" customHeight="true" outlineLevel="0" collapsed="false">
      <c r="A24" s="108" t="s">
        <v>191</v>
      </c>
      <c r="B24" s="109" t="n">
        <f aca="false">+'BG '!I30</f>
        <v>42623206</v>
      </c>
      <c r="C24" s="110" t="n">
        <f aca="false">+D24-B24</f>
        <v>-3606335</v>
      </c>
      <c r="D24" s="109" t="n">
        <f aca="false">+'BG '!O30</f>
        <v>39016871</v>
      </c>
      <c r="E24" s="110"/>
      <c r="F24" s="111" t="n">
        <v>0</v>
      </c>
      <c r="G24" s="112"/>
      <c r="H24" s="113"/>
      <c r="I24" s="86"/>
      <c r="J24" s="108" t="s">
        <v>58</v>
      </c>
      <c r="K24" s="109" t="n">
        <f aca="false">+'BG '!I60</f>
        <v>2542451</v>
      </c>
      <c r="L24" s="110" t="n">
        <f aca="false">+K24-M24</f>
        <v>-16020870</v>
      </c>
      <c r="M24" s="109" t="n">
        <f aca="false">+'BG '!O60</f>
        <v>18563321</v>
      </c>
      <c r="N24" s="110" t="n">
        <f aca="false">+M24-O24</f>
        <v>-2249885</v>
      </c>
      <c r="O24" s="134" t="n">
        <f aca="false">'[1]Planilla Final 2017'!R40</f>
        <v>20813206</v>
      </c>
      <c r="P24" s="112"/>
      <c r="Q24" s="107"/>
      <c r="T24" s="118"/>
      <c r="U24" s="118"/>
    </row>
    <row r="25" customFormat="false" ht="12" hidden="false" customHeight="true" outlineLevel="0" collapsed="false">
      <c r="A25" s="108" t="s">
        <v>45</v>
      </c>
      <c r="B25" s="109" t="n">
        <f aca="false">+'BG '!I32</f>
        <v>2045084</v>
      </c>
      <c r="C25" s="110" t="n">
        <f aca="false">+D25-B25</f>
        <v>-1984557</v>
      </c>
      <c r="D25" s="109" t="n">
        <f aca="false">+'BG '!O32</f>
        <v>60527</v>
      </c>
      <c r="E25" s="110" t="n">
        <f aca="false">+F25-D27</f>
        <v>-3561499.185148</v>
      </c>
      <c r="F25" s="137" t="n">
        <v>0</v>
      </c>
      <c r="G25" s="112" t="n">
        <f aca="false">F25-H25</f>
        <v>0</v>
      </c>
      <c r="H25" s="121" t="n">
        <v>0</v>
      </c>
      <c r="J25" s="108" t="s">
        <v>192</v>
      </c>
      <c r="K25" s="109" t="n">
        <f aca="false">+'BG '!I63</f>
        <v>0</v>
      </c>
      <c r="L25" s="110" t="n">
        <f aca="false">+K25-M25</f>
        <v>-3724199</v>
      </c>
      <c r="M25" s="109" t="n">
        <f aca="false">+'BG '!O63</f>
        <v>3724199</v>
      </c>
      <c r="N25" s="110" t="n">
        <f aca="false">+M25-O25</f>
        <v>151756</v>
      </c>
      <c r="O25" s="134" t="n">
        <f aca="false">'[1]Planilla Final 2017'!R41</f>
        <v>3572443</v>
      </c>
      <c r="P25" s="112" t="n">
        <f aca="false">+O26-Q25</f>
        <v>0</v>
      </c>
      <c r="Q25" s="138" t="n">
        <v>0</v>
      </c>
      <c r="T25" s="118"/>
      <c r="U25" s="118"/>
    </row>
    <row r="26" customFormat="false" ht="12" hidden="false" customHeight="true" outlineLevel="0" collapsed="false">
      <c r="A26" s="108" t="s">
        <v>41</v>
      </c>
      <c r="B26" s="109" t="n">
        <f aca="false">+'BG '!I28</f>
        <v>0</v>
      </c>
      <c r="C26" s="110" t="n">
        <f aca="false">+D26-B26</f>
        <v>4147107</v>
      </c>
      <c r="D26" s="109" t="n">
        <f aca="false">+'BG '!O28</f>
        <v>4147107</v>
      </c>
      <c r="E26" s="122"/>
      <c r="F26" s="134" t="n">
        <f aca="false">SUM(F16:F25)</f>
        <v>140254410</v>
      </c>
      <c r="H26" s="139" t="n">
        <f aca="false">SUM(H16:H25)</f>
        <v>142314484</v>
      </c>
      <c r="I26" s="86"/>
      <c r="J26" s="108" t="s">
        <v>61</v>
      </c>
      <c r="K26" s="109" t="n">
        <f aca="false">+'BG '!I62</f>
        <v>16083778</v>
      </c>
      <c r="L26" s="110" t="n">
        <f aca="false">+K26-M26</f>
        <v>13503778</v>
      </c>
      <c r="M26" s="109" t="n">
        <f aca="false">+'BG '!O62</f>
        <v>2580000</v>
      </c>
      <c r="N26" s="110" t="n">
        <f aca="false">+M26-O26</f>
        <v>2580000</v>
      </c>
      <c r="O26" s="140" t="n">
        <v>0</v>
      </c>
      <c r="Q26" s="141" t="n">
        <f aca="false">SUM(Q16:Q25)</f>
        <v>69239881</v>
      </c>
      <c r="T26" s="118"/>
      <c r="U26" s="118"/>
    </row>
    <row r="27" customFormat="false" ht="12" hidden="false" customHeight="true" outlineLevel="0" collapsed="false">
      <c r="A27" s="108" t="s">
        <v>125</v>
      </c>
      <c r="B27" s="126" t="n">
        <f aca="false">+'BG '!I31</f>
        <v>280196</v>
      </c>
      <c r="C27" s="110" t="n">
        <f aca="false">+D27-B27</f>
        <v>3281303.185148</v>
      </c>
      <c r="D27" s="126" t="n">
        <f aca="false">+'BG '!O31</f>
        <v>3561499.185148</v>
      </c>
      <c r="E27" s="122"/>
      <c r="F27" s="96"/>
      <c r="J27" s="129" t="s">
        <v>193</v>
      </c>
      <c r="K27" s="142" t="n">
        <f aca="false">SUM(K18:K26)</f>
        <v>70055151</v>
      </c>
      <c r="L27" s="122"/>
      <c r="M27" s="137" t="n">
        <f aca="false">SUM(M18:M26)</f>
        <v>50838139</v>
      </c>
      <c r="N27" s="122"/>
      <c r="O27" s="137" t="n">
        <f aca="false">SUM(O18:O25)</f>
        <v>61105176</v>
      </c>
      <c r="Q27" s="143" t="e">
        <f aca="false">+#REF!+Q26</f>
        <v>#REF!</v>
      </c>
      <c r="T27" s="118"/>
      <c r="U27" s="118"/>
    </row>
    <row r="28" customFormat="false" ht="12" hidden="false" customHeight="true" outlineLevel="0" collapsed="false">
      <c r="A28" s="101" t="s">
        <v>194</v>
      </c>
      <c r="B28" s="109" t="n">
        <f aca="false">SUM(B18:B27)</f>
        <v>138727919</v>
      </c>
      <c r="C28" s="134"/>
      <c r="D28" s="134" t="n">
        <f aca="false">SUM(D18:D27)</f>
        <v>112563029.2466</v>
      </c>
      <c r="E28" s="122"/>
      <c r="F28" s="96"/>
      <c r="J28" s="129" t="s">
        <v>195</v>
      </c>
      <c r="K28" s="142" t="n">
        <f aca="false">+K15+K27</f>
        <v>172182798</v>
      </c>
      <c r="L28" s="122"/>
      <c r="M28" s="144" t="n">
        <f aca="false">+M27+M15</f>
        <v>112675553</v>
      </c>
      <c r="N28" s="122"/>
      <c r="O28" s="144" t="n">
        <f aca="false">+O15+O27</f>
        <v>127247534</v>
      </c>
      <c r="Q28" s="120"/>
      <c r="T28" s="118"/>
      <c r="U28" s="118"/>
    </row>
    <row r="29" customFormat="false" ht="12" hidden="false" customHeight="true" outlineLevel="0" collapsed="false">
      <c r="B29" s="109"/>
      <c r="C29" s="96"/>
      <c r="D29" s="96"/>
      <c r="E29" s="122"/>
      <c r="F29" s="96"/>
      <c r="I29" s="86"/>
      <c r="J29" s="129"/>
      <c r="K29" s="109"/>
      <c r="L29" s="122"/>
      <c r="M29" s="145"/>
      <c r="N29" s="122"/>
      <c r="O29" s="146"/>
      <c r="Q29" s="147"/>
      <c r="T29" s="118"/>
      <c r="U29" s="118"/>
    </row>
    <row r="30" customFormat="false" ht="12" hidden="false" customHeight="true" outlineLevel="0" collapsed="false">
      <c r="B30" s="109"/>
      <c r="C30" s="96"/>
      <c r="D30" s="96"/>
      <c r="E30" s="122"/>
      <c r="F30" s="96"/>
      <c r="J30" s="129" t="s">
        <v>196</v>
      </c>
      <c r="K30" s="109" t="n">
        <f aca="false">+'BG '!I72</f>
        <v>135474272</v>
      </c>
      <c r="L30" s="122" t="n">
        <f aca="false">K30-M30</f>
        <v>26207532.55</v>
      </c>
      <c r="M30" s="109" t="n">
        <f aca="false">+'BG '!O72</f>
        <v>109266739.45</v>
      </c>
      <c r="N30" s="122" t="n">
        <f aca="false">M30-O30</f>
        <v>28941387.45</v>
      </c>
      <c r="O30" s="111" t="n">
        <f aca="false">'[1]Planilla Final 2017'!R51</f>
        <v>80325352</v>
      </c>
      <c r="P30" s="82" t="n">
        <f aca="false">O30-Q30</f>
        <v>5629205</v>
      </c>
      <c r="Q30" s="115" t="n">
        <f aca="false">77632975-2936828</f>
        <v>74696147</v>
      </c>
      <c r="S30" s="120"/>
      <c r="T30" s="118"/>
      <c r="U30" s="118"/>
    </row>
    <row r="31" customFormat="false" ht="12" hidden="false" customHeight="true" outlineLevel="0" collapsed="false">
      <c r="B31" s="109"/>
      <c r="C31" s="96"/>
      <c r="D31" s="96"/>
      <c r="E31" s="122"/>
      <c r="F31" s="96"/>
      <c r="I31" s="148"/>
      <c r="K31" s="96"/>
      <c r="L31" s="96"/>
      <c r="M31" s="96"/>
      <c r="N31" s="122"/>
      <c r="O31" s="96"/>
      <c r="T31" s="118"/>
      <c r="U31" s="118"/>
    </row>
    <row r="32" customFormat="false" ht="12" hidden="false" customHeight="true" outlineLevel="0" collapsed="false">
      <c r="A32" s="84" t="s">
        <v>197</v>
      </c>
      <c r="B32" s="149" t="n">
        <f aca="false">+B28+B15</f>
        <v>307657070</v>
      </c>
      <c r="C32" s="150"/>
      <c r="D32" s="149" t="n">
        <f aca="false">+D28+D15</f>
        <v>212179159.2466</v>
      </c>
      <c r="E32" s="98"/>
      <c r="F32" s="149" t="e">
        <f aca="false">+F26+#REF!</f>
        <v>#REF!</v>
      </c>
      <c r="G32" s="85"/>
      <c r="H32" s="151" t="e">
        <f aca="false">+H26+#REF!</f>
        <v>#REF!</v>
      </c>
      <c r="I32" s="86"/>
      <c r="J32" s="152" t="s">
        <v>198</v>
      </c>
      <c r="K32" s="149" t="n">
        <f aca="false">+K30+K28</f>
        <v>307657070</v>
      </c>
      <c r="L32" s="150"/>
      <c r="M32" s="149" t="n">
        <f aca="false">+M30+M28</f>
        <v>221942292.45</v>
      </c>
      <c r="N32" s="98"/>
      <c r="O32" s="149" t="n">
        <f aca="false">+O28+O30</f>
        <v>207572886</v>
      </c>
      <c r="P32" s="85"/>
      <c r="Q32" s="151" t="e">
        <f aca="false">+Q27+Q30</f>
        <v>#REF!</v>
      </c>
      <c r="T32" s="118"/>
      <c r="U32" s="118"/>
    </row>
    <row r="33" customFormat="false" ht="5.1" hidden="false" customHeight="true" outlineLevel="0" collapsed="false">
      <c r="B33" s="153"/>
      <c r="C33" s="153"/>
      <c r="D33" s="153"/>
      <c r="E33" s="154"/>
      <c r="F33" s="155"/>
      <c r="I33" s="86"/>
      <c r="J33" s="147"/>
      <c r="K33" s="153"/>
      <c r="L33" s="156"/>
      <c r="M33" s="156"/>
      <c r="N33" s="154"/>
      <c r="O33" s="153"/>
      <c r="T33" s="147"/>
    </row>
    <row r="34" customFormat="false" ht="9" hidden="false" customHeight="true" outlineLevel="0" collapsed="false">
      <c r="B34" s="80"/>
      <c r="F34" s="157"/>
      <c r="I34" s="86"/>
      <c r="J34" s="147"/>
      <c r="K34" s="117" t="n">
        <f aca="false">+K32-B32</f>
        <v>0</v>
      </c>
      <c r="L34" s="117" t="n">
        <f aca="false">+L32-C32</f>
        <v>0</v>
      </c>
      <c r="M34" s="117" t="n">
        <f aca="false">+M32-D32</f>
        <v>9763133.20339999</v>
      </c>
      <c r="T34" s="147"/>
    </row>
    <row r="35" customFormat="false" ht="12" hidden="false" customHeight="true" outlineLevel="0" collapsed="false">
      <c r="B35" s="80"/>
      <c r="F35" s="147"/>
      <c r="I35" s="86"/>
      <c r="J35" s="147"/>
      <c r="K35" s="80"/>
      <c r="L35" s="147"/>
      <c r="M35" s="147"/>
      <c r="O35" s="147"/>
      <c r="Q35" s="147"/>
      <c r="T35" s="147"/>
    </row>
    <row r="36" customFormat="false" ht="12" hidden="false" customHeight="true" outlineLevel="0" collapsed="false">
      <c r="A36" s="158" t="s">
        <v>199</v>
      </c>
      <c r="B36" s="159"/>
      <c r="D36" s="160"/>
      <c r="E36" s="85"/>
      <c r="F36" s="147"/>
      <c r="G36" s="85"/>
      <c r="I36" s="86"/>
      <c r="J36" s="161" t="s">
        <v>200</v>
      </c>
      <c r="K36" s="159"/>
      <c r="L36" s="147"/>
      <c r="M36" s="147"/>
      <c r="N36" s="85"/>
      <c r="P36" s="85"/>
      <c r="T36" s="147"/>
    </row>
    <row r="37" customFormat="false" ht="12" hidden="false" customHeight="true" outlineLevel="0" collapsed="false">
      <c r="A37" s="162" t="s">
        <v>201</v>
      </c>
      <c r="B37" s="109" t="n">
        <v>0</v>
      </c>
      <c r="C37" s="163"/>
      <c r="D37" s="163"/>
      <c r="E37" s="85"/>
      <c r="F37" s="147"/>
      <c r="G37" s="85"/>
      <c r="H37" s="147"/>
      <c r="I37" s="86"/>
      <c r="J37" s="162" t="s">
        <v>202</v>
      </c>
      <c r="K37" s="109" t="n">
        <f aca="false">+ER!H40</f>
        <v>46095655</v>
      </c>
      <c r="L37" s="147"/>
      <c r="M37" s="147"/>
      <c r="N37" s="85"/>
      <c r="P37" s="85"/>
      <c r="T37" s="147"/>
    </row>
    <row r="38" customFormat="false" ht="12" hidden="false" customHeight="true" outlineLevel="0" collapsed="false">
      <c r="A38" s="164" t="s">
        <v>203</v>
      </c>
      <c r="B38" s="126" t="n">
        <v>0</v>
      </c>
      <c r="C38" s="165"/>
      <c r="D38" s="165"/>
      <c r="E38" s="85"/>
      <c r="F38" s="147"/>
      <c r="G38" s="85"/>
      <c r="J38" s="166" t="s">
        <v>157</v>
      </c>
      <c r="K38" s="109" t="n">
        <f aca="false">+PAT!J189</f>
        <v>-8861058</v>
      </c>
      <c r="L38" s="167"/>
      <c r="M38" s="167"/>
      <c r="N38" s="85"/>
      <c r="P38" s="85"/>
      <c r="T38" s="147"/>
    </row>
    <row r="39" customFormat="false" ht="12" hidden="false" customHeight="true" outlineLevel="0" collapsed="false">
      <c r="A39" s="168" t="s">
        <v>204</v>
      </c>
      <c r="B39" s="126" t="n">
        <f aca="false">+B37+B38</f>
        <v>0</v>
      </c>
      <c r="C39" s="165"/>
      <c r="D39" s="165"/>
      <c r="E39" s="85"/>
      <c r="F39" s="147"/>
      <c r="G39" s="85"/>
      <c r="I39" s="86"/>
      <c r="J39" s="162" t="s">
        <v>205</v>
      </c>
      <c r="K39" s="169" t="n">
        <f aca="false">+PAT!J188</f>
        <v>-1881937</v>
      </c>
      <c r="L39" s="167"/>
      <c r="M39" s="167"/>
      <c r="N39" s="85"/>
      <c r="P39" s="85"/>
      <c r="T39" s="147"/>
    </row>
    <row r="40" customFormat="false" ht="12" hidden="false" customHeight="true" outlineLevel="0" collapsed="false">
      <c r="B40" s="170" t="n">
        <f aca="false">+B39-C24</f>
        <v>3606335</v>
      </c>
      <c r="F40" s="147"/>
      <c r="I40" s="86"/>
      <c r="J40" s="162" t="s">
        <v>206</v>
      </c>
      <c r="K40" s="109" t="n">
        <v>0</v>
      </c>
      <c r="L40" s="147"/>
      <c r="M40" s="147"/>
      <c r="O40" s="147"/>
      <c r="Q40" s="147"/>
      <c r="T40" s="147"/>
    </row>
    <row r="41" customFormat="false" ht="12" hidden="false" customHeight="true" outlineLevel="0" collapsed="false">
      <c r="A41" s="158" t="s">
        <v>207</v>
      </c>
      <c r="B41" s="159"/>
      <c r="E41" s="85"/>
      <c r="F41" s="147"/>
      <c r="G41" s="85"/>
      <c r="I41" s="86"/>
      <c r="J41" s="171" t="s">
        <v>204</v>
      </c>
      <c r="K41" s="142" t="n">
        <f aca="false">SUM(K37:K40)</f>
        <v>35352660</v>
      </c>
      <c r="L41" s="147"/>
      <c r="M41" s="147"/>
      <c r="N41" s="85"/>
      <c r="P41" s="85"/>
      <c r="T41" s="147"/>
    </row>
    <row r="42" customFormat="false" ht="12" hidden="false" customHeight="true" outlineLevel="0" collapsed="false">
      <c r="A42" s="162" t="s">
        <v>208</v>
      </c>
      <c r="B42" s="109" t="n">
        <f aca="false">+EFE!I12</f>
        <v>28468856</v>
      </c>
      <c r="C42" s="163"/>
      <c r="D42" s="163"/>
      <c r="E42" s="85"/>
      <c r="F42" s="147"/>
      <c r="G42" s="85"/>
      <c r="H42" s="147"/>
      <c r="I42" s="86"/>
      <c r="J42" s="167"/>
      <c r="K42" s="165" t="n">
        <f aca="false">+K41-L30</f>
        <v>9145127.45</v>
      </c>
      <c r="L42" s="147"/>
      <c r="M42" s="147"/>
      <c r="N42" s="85"/>
      <c r="P42" s="85"/>
      <c r="T42" s="147"/>
    </row>
    <row r="43" customFormat="false" ht="12" hidden="false" customHeight="true" outlineLevel="0" collapsed="false">
      <c r="A43" s="164" t="s">
        <v>203</v>
      </c>
      <c r="B43" s="126" t="n">
        <f aca="false">-B42+C20</f>
        <v>-49755315.938548</v>
      </c>
      <c r="C43" s="165"/>
      <c r="D43" s="165"/>
      <c r="E43" s="85"/>
      <c r="F43" s="147"/>
      <c r="G43" s="85"/>
      <c r="J43" s="172" t="s">
        <v>202</v>
      </c>
      <c r="K43" s="127" t="n">
        <f aca="false">+K37</f>
        <v>46095655</v>
      </c>
      <c r="L43" s="167"/>
      <c r="M43" s="167"/>
      <c r="N43" s="85"/>
      <c r="P43" s="85"/>
      <c r="T43" s="147"/>
    </row>
    <row r="44" customFormat="false" ht="12" hidden="false" customHeight="true" outlineLevel="0" collapsed="false">
      <c r="A44" s="168" t="s">
        <v>204</v>
      </c>
      <c r="B44" s="126" t="n">
        <f aca="false">+B42+B43</f>
        <v>-21286459.938548</v>
      </c>
      <c r="C44" s="165"/>
      <c r="D44" s="165"/>
      <c r="E44" s="85"/>
      <c r="F44" s="147"/>
      <c r="G44" s="85"/>
      <c r="I44" s="86"/>
      <c r="J44" s="173" t="s">
        <v>209</v>
      </c>
      <c r="K44" s="126" t="n">
        <f aca="false">B68</f>
        <v>5164625</v>
      </c>
      <c r="L44" s="167"/>
      <c r="M44" s="167"/>
      <c r="N44" s="85"/>
      <c r="P44" s="85"/>
      <c r="T44" s="147"/>
    </row>
    <row r="45" customFormat="false" ht="12" hidden="false" customHeight="true" outlineLevel="0" collapsed="false">
      <c r="B45" s="165" t="n">
        <f aca="false">+B44-C20</f>
        <v>0</v>
      </c>
      <c r="C45" s="165"/>
      <c r="D45" s="165"/>
      <c r="F45" s="157"/>
      <c r="J45" s="174" t="s">
        <v>210</v>
      </c>
      <c r="K45" s="175" t="n">
        <f aca="false">+K43+K44</f>
        <v>51260280</v>
      </c>
      <c r="L45" s="167"/>
      <c r="M45" s="167"/>
      <c r="T45" s="147"/>
    </row>
    <row r="46" customFormat="false" ht="12" hidden="false" customHeight="true" outlineLevel="0" collapsed="false">
      <c r="A46" s="158" t="s">
        <v>211</v>
      </c>
      <c r="B46" s="159"/>
      <c r="E46" s="85"/>
      <c r="F46" s="147"/>
      <c r="G46" s="85"/>
      <c r="I46" s="86"/>
      <c r="K46" s="176" t="n">
        <f aca="false">+K45-EFE!I8</f>
        <v>0</v>
      </c>
      <c r="L46" s="147"/>
      <c r="M46" s="147"/>
      <c r="N46" s="85"/>
      <c r="P46" s="85"/>
      <c r="T46" s="147"/>
    </row>
    <row r="47" customFormat="false" ht="12" hidden="false" customHeight="true" outlineLevel="0" collapsed="false">
      <c r="A47" s="162" t="s">
        <v>208</v>
      </c>
      <c r="B47" s="109" t="n">
        <f aca="false">+EFE!I14</f>
        <v>2050134</v>
      </c>
      <c r="C47" s="163"/>
      <c r="D47" s="163"/>
      <c r="E47" s="85"/>
      <c r="F47" s="147"/>
      <c r="G47" s="85"/>
      <c r="H47" s="147"/>
      <c r="I47" s="86"/>
      <c r="K47" s="176"/>
      <c r="L47" s="147"/>
      <c r="M47" s="147"/>
      <c r="N47" s="85"/>
      <c r="P47" s="85"/>
      <c r="T47" s="147"/>
    </row>
    <row r="48" customFormat="false" ht="12" hidden="false" customHeight="true" outlineLevel="0" collapsed="false">
      <c r="A48" s="164" t="s">
        <v>212</v>
      </c>
      <c r="B48" s="109" t="n">
        <f aca="false">-4323860-1619556</f>
        <v>-5943416</v>
      </c>
      <c r="C48" s="165"/>
      <c r="D48" s="165"/>
      <c r="E48" s="85"/>
      <c r="F48" s="147"/>
      <c r="G48" s="85"/>
      <c r="J48" s="167"/>
      <c r="K48" s="80"/>
      <c r="L48" s="167"/>
      <c r="M48" s="167"/>
      <c r="N48" s="85"/>
      <c r="P48" s="85"/>
      <c r="T48" s="147"/>
    </row>
    <row r="49" customFormat="false" ht="12" hidden="false" customHeight="true" outlineLevel="0" collapsed="false">
      <c r="A49" s="164" t="s">
        <v>213</v>
      </c>
      <c r="B49" s="126" t="n">
        <f aca="false">+C26-B47-B48</f>
        <v>8040389</v>
      </c>
      <c r="C49" s="165"/>
      <c r="D49" s="165"/>
      <c r="E49" s="85"/>
      <c r="F49" s="147"/>
      <c r="G49" s="85"/>
      <c r="J49" s="167"/>
      <c r="K49" s="80"/>
      <c r="L49" s="167"/>
      <c r="M49" s="167"/>
      <c r="N49" s="85"/>
      <c r="P49" s="85"/>
      <c r="T49" s="147"/>
    </row>
    <row r="50" customFormat="false" ht="12" hidden="false" customHeight="true" outlineLevel="0" collapsed="false">
      <c r="A50" s="168" t="s">
        <v>204</v>
      </c>
      <c r="B50" s="126" t="n">
        <f aca="false">SUM(B47:B49)</f>
        <v>4147107</v>
      </c>
      <c r="C50" s="165"/>
      <c r="D50" s="165"/>
      <c r="E50" s="85"/>
      <c r="F50" s="147"/>
      <c r="G50" s="85"/>
      <c r="I50" s="86"/>
      <c r="J50" s="167"/>
      <c r="K50" s="80"/>
      <c r="L50" s="167"/>
      <c r="M50" s="167"/>
      <c r="N50" s="85"/>
      <c r="P50" s="85"/>
      <c r="T50" s="147"/>
    </row>
    <row r="51" customFormat="false" ht="12" hidden="false" customHeight="true" outlineLevel="0" collapsed="false">
      <c r="B51" s="165" t="n">
        <f aca="false">+C26-B50</f>
        <v>0</v>
      </c>
      <c r="C51" s="165"/>
      <c r="D51" s="165"/>
      <c r="E51" s="85"/>
      <c r="F51" s="147"/>
      <c r="G51" s="85"/>
      <c r="I51" s="86"/>
      <c r="J51" s="167"/>
      <c r="K51" s="80"/>
      <c r="L51" s="167"/>
      <c r="M51" s="167"/>
      <c r="N51" s="85"/>
      <c r="P51" s="85"/>
      <c r="T51" s="147"/>
    </row>
    <row r="52" customFormat="false" ht="12" hidden="false" customHeight="true" outlineLevel="0" collapsed="false">
      <c r="A52" s="158" t="s">
        <v>214</v>
      </c>
      <c r="B52" s="159"/>
      <c r="C52" s="165"/>
      <c r="D52" s="165"/>
      <c r="E52" s="85"/>
      <c r="F52" s="147"/>
      <c r="G52" s="85"/>
      <c r="I52" s="86"/>
      <c r="J52" s="167"/>
      <c r="K52" s="80"/>
      <c r="L52" s="167"/>
      <c r="M52" s="167"/>
      <c r="N52" s="85"/>
      <c r="P52" s="85"/>
      <c r="T52" s="147"/>
    </row>
    <row r="53" customFormat="false" ht="12" hidden="false" customHeight="true" outlineLevel="0" collapsed="false">
      <c r="A53" s="162" t="s">
        <v>215</v>
      </c>
      <c r="B53" s="109" t="n">
        <f aca="false">+EFE!I19</f>
        <v>3304648</v>
      </c>
      <c r="C53" s="165"/>
      <c r="D53" s="165"/>
      <c r="I53" s="86"/>
      <c r="J53" s="167"/>
      <c r="K53" s="80"/>
      <c r="L53" s="167"/>
      <c r="M53" s="167"/>
      <c r="T53" s="147"/>
    </row>
    <row r="54" customFormat="false" ht="12" hidden="false" customHeight="true" outlineLevel="0" collapsed="false">
      <c r="A54" s="164" t="s">
        <v>216</v>
      </c>
      <c r="B54" s="126" t="n">
        <f aca="false">-B53+L23</f>
        <v>-3830460</v>
      </c>
      <c r="C54" s="165"/>
      <c r="D54" s="165"/>
      <c r="E54" s="85"/>
      <c r="F54" s="147"/>
      <c r="G54" s="85"/>
      <c r="I54" s="86"/>
      <c r="J54" s="167"/>
      <c r="K54" s="80"/>
      <c r="L54" s="167"/>
      <c r="M54" s="167"/>
      <c r="N54" s="85"/>
      <c r="P54" s="85"/>
      <c r="T54" s="147"/>
    </row>
    <row r="55" customFormat="false" ht="12" hidden="false" customHeight="true" outlineLevel="0" collapsed="false">
      <c r="A55" s="168" t="s">
        <v>204</v>
      </c>
      <c r="B55" s="126" t="n">
        <f aca="false">+B53+B54</f>
        <v>-525812</v>
      </c>
      <c r="C55" s="165"/>
      <c r="D55" s="165"/>
      <c r="E55" s="85"/>
      <c r="F55" s="147"/>
      <c r="G55" s="85"/>
      <c r="I55" s="86"/>
      <c r="J55" s="167"/>
      <c r="K55" s="80"/>
      <c r="L55" s="167"/>
      <c r="M55" s="167"/>
      <c r="N55" s="85"/>
      <c r="P55" s="85"/>
      <c r="T55" s="147"/>
    </row>
    <row r="56" customFormat="false" ht="12" hidden="false" customHeight="true" outlineLevel="0" collapsed="false">
      <c r="B56" s="165" t="n">
        <f aca="false">+B55-L23</f>
        <v>0</v>
      </c>
      <c r="C56" s="165"/>
      <c r="D56" s="165"/>
      <c r="E56" s="85"/>
      <c r="F56" s="147"/>
      <c r="G56" s="85"/>
      <c r="I56" s="86"/>
      <c r="J56" s="167"/>
      <c r="K56" s="80"/>
      <c r="L56" s="167"/>
      <c r="M56" s="167"/>
      <c r="N56" s="85"/>
      <c r="P56" s="85"/>
      <c r="T56" s="147"/>
    </row>
    <row r="57" customFormat="false" ht="12" hidden="false" customHeight="true" outlineLevel="0" collapsed="false">
      <c r="A57" s="158" t="s">
        <v>217</v>
      </c>
      <c r="B57" s="159"/>
      <c r="C57" s="165"/>
      <c r="D57" s="165"/>
      <c r="E57" s="85"/>
      <c r="F57" s="147"/>
      <c r="G57" s="85"/>
      <c r="I57" s="86"/>
      <c r="J57" s="167"/>
      <c r="K57" s="80"/>
      <c r="L57" s="167"/>
      <c r="M57" s="167"/>
      <c r="N57" s="85"/>
      <c r="P57" s="85"/>
      <c r="T57" s="147"/>
    </row>
    <row r="58" customFormat="false" ht="12" hidden="false" customHeight="true" outlineLevel="0" collapsed="false">
      <c r="A58" s="162" t="s">
        <v>218</v>
      </c>
      <c r="B58" s="109" t="n">
        <f aca="false">+EFE!I16</f>
        <v>2724375</v>
      </c>
      <c r="C58" s="165"/>
      <c r="D58" s="165"/>
      <c r="E58" s="85"/>
      <c r="F58" s="147"/>
      <c r="G58" s="85"/>
      <c r="J58" s="167"/>
      <c r="K58" s="80"/>
      <c r="L58" s="167"/>
      <c r="M58" s="167"/>
      <c r="N58" s="85"/>
      <c r="P58" s="85"/>
      <c r="T58" s="147"/>
    </row>
    <row r="59" customFormat="false" ht="12" hidden="false" customHeight="true" outlineLevel="0" collapsed="false">
      <c r="A59" s="164" t="s">
        <v>203</v>
      </c>
      <c r="B59" s="126" t="n">
        <f aca="false">-B58+C22</f>
        <v>-4285084</v>
      </c>
      <c r="C59" s="165"/>
      <c r="D59" s="165"/>
      <c r="E59" s="85"/>
      <c r="F59" s="147"/>
      <c r="G59" s="85"/>
      <c r="J59" s="167"/>
      <c r="K59" s="80"/>
      <c r="L59" s="167"/>
      <c r="M59" s="167"/>
      <c r="N59" s="85"/>
      <c r="P59" s="85"/>
      <c r="T59" s="147"/>
    </row>
    <row r="60" customFormat="false" ht="12" hidden="false" customHeight="true" outlineLevel="0" collapsed="false">
      <c r="A60" s="168" t="s">
        <v>204</v>
      </c>
      <c r="B60" s="126" t="n">
        <f aca="false">+B58+B59</f>
        <v>-1560709</v>
      </c>
      <c r="C60" s="165"/>
      <c r="D60" s="165"/>
      <c r="F60" s="167"/>
      <c r="J60" s="167"/>
      <c r="K60" s="80"/>
      <c r="L60" s="167"/>
      <c r="M60" s="167"/>
      <c r="T60" s="147"/>
    </row>
    <row r="61" customFormat="false" ht="12" hidden="false" customHeight="true" outlineLevel="0" collapsed="false">
      <c r="B61" s="165" t="n">
        <f aca="false">+B60-C22</f>
        <v>0</v>
      </c>
      <c r="C61" s="165"/>
      <c r="D61" s="165"/>
      <c r="F61" s="167"/>
      <c r="J61" s="167"/>
      <c r="K61" s="80"/>
      <c r="L61" s="167"/>
      <c r="M61" s="167"/>
      <c r="T61" s="147"/>
    </row>
    <row r="62" customFormat="false" ht="12" hidden="false" customHeight="true" outlineLevel="0" collapsed="false">
      <c r="A62" s="158" t="s">
        <v>219</v>
      </c>
      <c r="B62" s="159"/>
      <c r="C62" s="165"/>
      <c r="D62" s="165"/>
      <c r="J62" s="167"/>
      <c r="K62" s="80"/>
      <c r="L62" s="167"/>
      <c r="M62" s="167"/>
      <c r="T62" s="147"/>
    </row>
    <row r="63" customFormat="false" ht="12" hidden="false" customHeight="true" outlineLevel="0" collapsed="false">
      <c r="A63" s="162" t="s">
        <v>220</v>
      </c>
      <c r="B63" s="109" t="n">
        <f aca="false">+EFE!I13</f>
        <v>39210</v>
      </c>
      <c r="C63" s="165"/>
      <c r="D63" s="165"/>
      <c r="J63" s="167"/>
      <c r="K63" s="80"/>
      <c r="L63" s="167"/>
      <c r="M63" s="167"/>
      <c r="T63" s="147"/>
    </row>
    <row r="64" customFormat="false" ht="12" hidden="false" customHeight="true" outlineLevel="0" collapsed="false">
      <c r="A64" s="164" t="s">
        <v>203</v>
      </c>
      <c r="B64" s="126" t="n">
        <f aca="false">-B63+C21</f>
        <v>-407801</v>
      </c>
      <c r="C64" s="165"/>
      <c r="D64" s="165"/>
      <c r="K64" s="80"/>
      <c r="T64" s="147"/>
    </row>
    <row r="65" customFormat="false" ht="12" hidden="false" customHeight="true" outlineLevel="0" collapsed="false">
      <c r="A65" s="168" t="s">
        <v>221</v>
      </c>
      <c r="B65" s="126" t="n">
        <f aca="false">+B63+B64</f>
        <v>-368591</v>
      </c>
      <c r="C65" s="165"/>
      <c r="D65" s="165"/>
      <c r="K65" s="80"/>
      <c r="T65" s="147"/>
    </row>
    <row r="66" customFormat="false" ht="12" hidden="false" customHeight="true" outlineLevel="0" collapsed="false">
      <c r="B66" s="165" t="n">
        <f aca="false">+B65-C21</f>
        <v>0</v>
      </c>
      <c r="C66" s="165"/>
      <c r="D66" s="165"/>
      <c r="K66" s="80"/>
      <c r="T66" s="147"/>
    </row>
    <row r="67" customFormat="false" ht="12" hidden="false" customHeight="true" outlineLevel="0" collapsed="false">
      <c r="A67" s="158" t="s">
        <v>222</v>
      </c>
      <c r="B67" s="127"/>
      <c r="C67" s="165"/>
      <c r="D67" s="165"/>
      <c r="K67" s="80"/>
      <c r="T67" s="147"/>
    </row>
    <row r="68" customFormat="false" ht="12" hidden="false" customHeight="true" outlineLevel="0" collapsed="false">
      <c r="A68" s="164" t="s">
        <v>223</v>
      </c>
      <c r="B68" s="109" t="n">
        <f aca="false">-ER!H35</f>
        <v>5164625</v>
      </c>
      <c r="K68" s="80"/>
      <c r="T68" s="147"/>
    </row>
    <row r="69" customFormat="false" ht="12" hidden="false" customHeight="true" outlineLevel="0" collapsed="false">
      <c r="A69" s="164" t="s">
        <v>224</v>
      </c>
      <c r="B69" s="109" t="n">
        <f aca="false">+EFE!I43</f>
        <v>-2091119</v>
      </c>
      <c r="K69" s="80"/>
      <c r="T69" s="147"/>
    </row>
    <row r="70" customFormat="false" ht="12" hidden="false" customHeight="true" outlineLevel="0" collapsed="false">
      <c r="A70" s="164" t="s">
        <v>225</v>
      </c>
      <c r="B70" s="177" t="n">
        <f aca="false">-B68-B69+L10</f>
        <v>-9406957</v>
      </c>
      <c r="K70" s="80"/>
      <c r="T70" s="147"/>
    </row>
    <row r="71" customFormat="false" ht="12" hidden="false" customHeight="true" outlineLevel="0" collapsed="false">
      <c r="A71" s="168" t="s">
        <v>221</v>
      </c>
      <c r="B71" s="177" t="n">
        <f aca="false">SUM(B68:B70)</f>
        <v>-6333451</v>
      </c>
      <c r="K71" s="80"/>
      <c r="T71" s="147"/>
    </row>
    <row r="72" customFormat="false" ht="12" hidden="false" customHeight="true" outlineLevel="0" collapsed="false">
      <c r="B72" s="120" t="n">
        <f aca="false">+B71-L10</f>
        <v>0</v>
      </c>
      <c r="K72" s="80"/>
      <c r="T72" s="147"/>
    </row>
    <row r="73" customFormat="false" ht="12" hidden="false" customHeight="true" outlineLevel="0" collapsed="false">
      <c r="A73" s="158" t="s">
        <v>226</v>
      </c>
      <c r="B73" s="127"/>
      <c r="K73" s="80"/>
      <c r="T73" s="147"/>
    </row>
    <row r="74" customFormat="false" ht="12" hidden="false" customHeight="true" outlineLevel="0" collapsed="false">
      <c r="A74" s="164" t="s">
        <v>227</v>
      </c>
      <c r="B74" s="109" t="n">
        <f aca="false">-ER!H34</f>
        <v>-0</v>
      </c>
      <c r="K74" s="80"/>
      <c r="T74" s="147"/>
    </row>
    <row r="75" customFormat="false" ht="12" hidden="false" customHeight="true" outlineLevel="0" collapsed="false">
      <c r="A75" s="164" t="s">
        <v>228</v>
      </c>
      <c r="B75" s="178" t="n">
        <f aca="false">+EFE!I44</f>
        <v>-2840226</v>
      </c>
      <c r="K75" s="80"/>
      <c r="T75" s="147"/>
    </row>
    <row r="76" customFormat="false" ht="12" hidden="false" customHeight="true" outlineLevel="0" collapsed="false">
      <c r="A76" s="164" t="s">
        <v>225</v>
      </c>
      <c r="B76" s="177" t="n">
        <f aca="false">-B74-B75+L14</f>
        <v>3504271</v>
      </c>
      <c r="K76" s="80"/>
      <c r="T76" s="147"/>
    </row>
    <row r="77" customFormat="false" ht="12" hidden="false" customHeight="true" outlineLevel="0" collapsed="false">
      <c r="A77" s="168" t="s">
        <v>221</v>
      </c>
      <c r="B77" s="177" t="n">
        <f aca="false">SUM(B74:B76)</f>
        <v>664045</v>
      </c>
      <c r="K77" s="80"/>
      <c r="T77" s="147"/>
    </row>
    <row r="78" customFormat="false" ht="12" hidden="false" customHeight="true" outlineLevel="0" collapsed="false">
      <c r="B78" s="120" t="n">
        <f aca="false">+B77-L14</f>
        <v>0</v>
      </c>
      <c r="K78" s="80"/>
      <c r="T78" s="147"/>
    </row>
    <row r="79" customFormat="false" ht="12" hidden="false" customHeight="true" outlineLevel="0" collapsed="false">
      <c r="A79" s="158" t="s">
        <v>229</v>
      </c>
      <c r="B79" s="159"/>
      <c r="K79" s="80"/>
      <c r="T79" s="147"/>
    </row>
    <row r="80" customFormat="false" ht="12" hidden="false" customHeight="true" outlineLevel="0" collapsed="false">
      <c r="A80" s="162" t="s">
        <v>230</v>
      </c>
      <c r="B80" s="109" t="n">
        <f aca="false">+EFE!I10</f>
        <v>300302</v>
      </c>
      <c r="K80" s="80"/>
      <c r="T80" s="147"/>
    </row>
    <row r="81" customFormat="false" ht="12" hidden="false" customHeight="true" outlineLevel="0" collapsed="false">
      <c r="A81" s="164" t="s">
        <v>231</v>
      </c>
      <c r="B81" s="126" t="n">
        <f aca="false">-B80+C8</f>
        <v>-9601997</v>
      </c>
      <c r="K81" s="80"/>
      <c r="T81" s="147"/>
    </row>
    <row r="82" customFormat="false" ht="12" hidden="false" customHeight="true" outlineLevel="0" collapsed="false">
      <c r="A82" s="168" t="s">
        <v>221</v>
      </c>
      <c r="B82" s="126" t="n">
        <f aca="false">+B80+B81</f>
        <v>-9301695</v>
      </c>
      <c r="K82" s="80"/>
      <c r="T82" s="147"/>
    </row>
    <row r="83" customFormat="false" ht="12" hidden="false" customHeight="true" outlineLevel="0" collapsed="false">
      <c r="B83" s="165" t="n">
        <f aca="false">+B82-C8</f>
        <v>0</v>
      </c>
      <c r="K83" s="80"/>
      <c r="T83" s="147"/>
    </row>
    <row r="84" customFormat="false" ht="12" hidden="false" customHeight="true" outlineLevel="0" collapsed="false">
      <c r="A84" s="158" t="s">
        <v>232</v>
      </c>
      <c r="B84" s="159"/>
      <c r="K84" s="80"/>
      <c r="T84" s="147"/>
    </row>
    <row r="85" customFormat="false" ht="12" hidden="false" customHeight="true" outlineLevel="0" collapsed="false">
      <c r="A85" s="162" t="s">
        <v>233</v>
      </c>
      <c r="B85" s="109" t="n">
        <f aca="false">+EFE!I22</f>
        <v>-73587</v>
      </c>
      <c r="K85" s="80"/>
      <c r="T85" s="147"/>
    </row>
    <row r="86" customFormat="false" ht="12" hidden="false" customHeight="true" outlineLevel="0" collapsed="false">
      <c r="A86" s="164" t="s">
        <v>225</v>
      </c>
      <c r="B86" s="126" t="n">
        <f aca="false">-B85+C27</f>
        <v>3354890.185148</v>
      </c>
    </row>
    <row r="87" customFormat="false" ht="12" hidden="false" customHeight="true" outlineLevel="0" collapsed="false">
      <c r="A87" s="168" t="s">
        <v>221</v>
      </c>
      <c r="B87" s="126" t="n">
        <f aca="false">+B85+B86</f>
        <v>3281303.185148</v>
      </c>
    </row>
    <row r="88" customFormat="false" ht="12" hidden="false" customHeight="true" outlineLevel="0" collapsed="false">
      <c r="B88" s="176" t="n">
        <f aca="false">+B87-C27</f>
        <v>0</v>
      </c>
    </row>
    <row r="89" customFormat="false" ht="12" hidden="false" customHeight="true" outlineLevel="0" collapsed="false">
      <c r="A89" s="158" t="s">
        <v>234</v>
      </c>
      <c r="B89" s="159"/>
    </row>
    <row r="90" customFormat="false" ht="12" hidden="false" customHeight="true" outlineLevel="0" collapsed="false">
      <c r="A90" s="162" t="s">
        <v>235</v>
      </c>
      <c r="B90" s="109"/>
    </row>
    <row r="91" customFormat="false" ht="12" hidden="false" customHeight="true" outlineLevel="0" collapsed="false">
      <c r="A91" s="162" t="s">
        <v>236</v>
      </c>
      <c r="B91" s="109" t="n">
        <f aca="false">-B48</f>
        <v>5943416</v>
      </c>
    </row>
    <row r="92" customFormat="false" ht="12" hidden="false" customHeight="true" outlineLevel="0" collapsed="false">
      <c r="A92" s="164" t="s">
        <v>225</v>
      </c>
      <c r="B92" s="126" t="n">
        <f aca="false">+L13+L25-B91</f>
        <v>-11886832</v>
      </c>
    </row>
    <row r="93" customFormat="false" ht="12" hidden="false" customHeight="true" outlineLevel="0" collapsed="false">
      <c r="A93" s="168" t="s">
        <v>221</v>
      </c>
      <c r="B93" s="126" t="n">
        <f aca="false">SUM(B90:B92)</f>
        <v>-5943416</v>
      </c>
    </row>
    <row r="94" customFormat="false" ht="12" hidden="false" customHeight="true" outlineLevel="0" collapsed="false">
      <c r="B94" s="176" t="n">
        <f aca="false">+B93-L13-L25</f>
        <v>0</v>
      </c>
    </row>
    <row r="95" customFormat="false" ht="12" hidden="false" customHeight="true" outlineLevel="0" collapsed="false"/>
    <row r="96" customFormat="false" ht="12" hidden="false" customHeight="true" outlineLevel="0" collapsed="false"/>
    <row r="97" customFormat="false" ht="12" hidden="false" customHeight="true" outlineLevel="0" collapsed="false"/>
    <row r="98" customFormat="false" ht="12" hidden="false" customHeight="true" outlineLevel="0" collapsed="false"/>
    <row r="99" customFormat="false" ht="12" hidden="false" customHeight="true" outlineLevel="0" collapsed="false"/>
    <row r="100" customFormat="false" ht="12" hidden="false" customHeight="true" outlineLevel="0" collapsed="false"/>
    <row r="101" customFormat="false" ht="12" hidden="false" customHeight="true" outlineLevel="0" collapsed="false"/>
    <row r="102" customFormat="false" ht="12" hidden="false" customHeight="true" outlineLevel="0" collapsed="false"/>
    <row r="103" customFormat="false" ht="12" hidden="false" customHeight="true" outlineLevel="0" collapsed="false"/>
    <row r="104" customFormat="false" ht="12" hidden="false" customHeight="true" outlineLevel="0" collapsed="false"/>
    <row r="105" customFormat="false" ht="12" hidden="false" customHeight="true" outlineLevel="0" collapsed="false"/>
    <row r="106" customFormat="false" ht="12" hidden="false" customHeight="true" outlineLevel="0" collapsed="false"/>
    <row r="107" customFormat="false" ht="12" hidden="false" customHeight="true" outlineLevel="0" collapsed="false"/>
    <row r="108" customFormat="false" ht="12" hidden="false" customHeight="true" outlineLevel="0" collapsed="false"/>
    <row r="109" customFormat="false" ht="12" hidden="false" customHeight="true" outlineLevel="0" collapsed="false"/>
    <row r="110" customFormat="false" ht="12" hidden="false" customHeight="true" outlineLevel="0" collapsed="false"/>
    <row r="111" customFormat="false" ht="12" hidden="false" customHeight="true" outlineLevel="0" collapsed="false"/>
    <row r="112" customFormat="false" ht="12" hidden="false" customHeight="true" outlineLevel="0" collapsed="false"/>
    <row r="113" customFormat="false" ht="12" hidden="false" customHeight="true" outlineLevel="0" collapsed="false"/>
    <row r="114" customFormat="false" ht="12"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7E6E6"/>
    <pageSetUpPr fitToPage="false"/>
  </sheetPr>
  <dimension ref="A1:L1048576"/>
  <sheetViews>
    <sheetView showFormulas="false" showGridLines="true" showRowColHeaders="true" showZeros="true" rightToLeft="false" tabSelected="true" showOutlineSymbols="true" defaultGridColor="true" view="normal" topLeftCell="A186" colorId="64" zoomScale="100" zoomScaleNormal="100" zoomScalePageLayoutView="100" workbookViewId="0">
      <selection pane="topLeft" activeCell="G198" activeCellId="0" sqref="G198"/>
    </sheetView>
  </sheetViews>
  <sheetFormatPr defaultColWidth="11.48828125" defaultRowHeight="15" zeroHeight="false" outlineLevelRow="1" outlineLevelCol="0"/>
  <cols>
    <col collapsed="false" customWidth="true" hidden="false" outlineLevel="0" max="1" min="1" style="0" width="2.85"/>
    <col collapsed="false" customWidth="false" hidden="false" outlineLevel="0" max="4" min="2" style="8" width="11.42"/>
    <col collapsed="false" customWidth="true" hidden="false" outlineLevel="0" max="5" min="5" style="8" width="12.14"/>
    <col collapsed="false" customWidth="true" hidden="false" outlineLevel="0" max="7" min="6" style="2" width="12.71"/>
    <col collapsed="false" customWidth="true" hidden="false" outlineLevel="0" max="8" min="8" style="0" width="12.57"/>
    <col collapsed="false" customWidth="true" hidden="false" outlineLevel="0" max="9" min="9" style="0" width="13.43"/>
    <col collapsed="false" customWidth="true" hidden="false" outlineLevel="0" max="10" min="10" style="0" width="13.14"/>
    <col collapsed="false" customWidth="true" hidden="false" outlineLevel="0" max="12" min="11" style="0" width="12.29"/>
  </cols>
  <sheetData>
    <row r="1" customFormat="false" ht="15" hidden="false" customHeight="false" outlineLevel="0" collapsed="false">
      <c r="A1" s="3" t="s">
        <v>12</v>
      </c>
    </row>
    <row r="2" customFormat="false" ht="15" hidden="false" customHeight="false" outlineLevel="0" collapsed="false">
      <c r="A2" s="4" t="s">
        <v>237</v>
      </c>
    </row>
    <row r="3" customFormat="false" ht="15" hidden="false" customHeight="false" outlineLevel="0" collapsed="false">
      <c r="A3" s="4" t="s">
        <v>238</v>
      </c>
    </row>
    <row r="4" customFormat="false" ht="15" hidden="false" customHeight="false" outlineLevel="0" collapsed="false">
      <c r="A4" s="8" t="s">
        <v>14</v>
      </c>
      <c r="F4" s="6"/>
      <c r="G4" s="6"/>
      <c r="H4" s="17"/>
      <c r="I4" s="17"/>
      <c r="J4" s="17"/>
    </row>
    <row r="5" customFormat="false" ht="15" hidden="false" customHeight="false" outlineLevel="0" collapsed="false">
      <c r="F5" s="10"/>
      <c r="G5" s="10"/>
      <c r="H5" s="18"/>
      <c r="I5" s="39" t="s">
        <v>15</v>
      </c>
      <c r="J5" s="39"/>
    </row>
    <row r="6" customFormat="false" ht="15" hidden="false" customHeight="false" outlineLevel="0" collapsed="false">
      <c r="F6" s="14" t="s">
        <v>16</v>
      </c>
      <c r="G6" s="14" t="s">
        <v>17</v>
      </c>
      <c r="H6" s="41" t="s">
        <v>18</v>
      </c>
      <c r="I6" s="42" t="s">
        <v>19</v>
      </c>
      <c r="J6" s="41" t="s">
        <v>20</v>
      </c>
    </row>
    <row r="7" customFormat="false" ht="15" hidden="false" customHeight="false" outlineLevel="0" collapsed="false">
      <c r="B7" s="179" t="s">
        <v>239</v>
      </c>
      <c r="C7" s="52"/>
      <c r="D7" s="52"/>
      <c r="E7" s="52"/>
      <c r="F7" s="10"/>
      <c r="G7" s="10"/>
      <c r="H7" s="18"/>
      <c r="I7" s="18"/>
      <c r="J7" s="18"/>
    </row>
    <row r="8" customFormat="false" ht="15" hidden="true" customHeight="false" outlineLevel="1" collapsed="false">
      <c r="B8" s="31" t="s">
        <v>240</v>
      </c>
      <c r="C8" s="59"/>
      <c r="D8" s="59"/>
      <c r="E8" s="59"/>
      <c r="F8" s="10" t="n">
        <v>11061874</v>
      </c>
      <c r="G8" s="10" t="n">
        <v>4032283</v>
      </c>
      <c r="H8" s="10" t="n">
        <f aca="false">+F8+G8</f>
        <v>15094157</v>
      </c>
      <c r="I8" s="10"/>
      <c r="J8" s="10" t="n">
        <f aca="false">+H8+I8</f>
        <v>15094157</v>
      </c>
    </row>
    <row r="9" customFormat="false" ht="15" hidden="true" customHeight="false" outlineLevel="1" collapsed="false">
      <c r="B9" s="31" t="s">
        <v>241</v>
      </c>
      <c r="C9" s="59"/>
      <c r="D9" s="59"/>
      <c r="E9" s="59"/>
      <c r="F9" s="10" t="n">
        <f aca="false">+F8</f>
        <v>11061874</v>
      </c>
      <c r="G9" s="10" t="n">
        <f aca="false">+G8</f>
        <v>4032283</v>
      </c>
      <c r="H9" s="10" t="n">
        <f aca="false">+F9+G9</f>
        <v>15094157</v>
      </c>
      <c r="I9" s="10"/>
      <c r="J9" s="10" t="n">
        <f aca="false">+H9+I9</f>
        <v>15094157</v>
      </c>
    </row>
    <row r="10" customFormat="false" ht="15" hidden="true" customHeight="false" outlineLevel="1" collapsed="false">
      <c r="B10" s="31" t="s">
        <v>242</v>
      </c>
      <c r="C10" s="59"/>
      <c r="D10" s="59"/>
      <c r="E10" s="59"/>
      <c r="F10" s="10"/>
      <c r="G10" s="10" t="n">
        <v>1228319</v>
      </c>
      <c r="H10" s="10" t="n">
        <f aca="false">+F10+G10</f>
        <v>1228319</v>
      </c>
      <c r="I10" s="10"/>
      <c r="J10" s="10" t="n">
        <f aca="false">+H10+I10</f>
        <v>1228319</v>
      </c>
    </row>
    <row r="11" customFormat="false" ht="15" hidden="true" customHeight="false" outlineLevel="1" collapsed="false">
      <c r="B11" s="31" t="s">
        <v>243</v>
      </c>
      <c r="C11" s="59"/>
      <c r="D11" s="59"/>
      <c r="E11" s="59"/>
      <c r="F11" s="10" t="n">
        <v>7077000</v>
      </c>
      <c r="G11" s="10"/>
      <c r="H11" s="10" t="n">
        <f aca="false">+F11+G11</f>
        <v>7077000</v>
      </c>
      <c r="I11" s="10"/>
      <c r="J11" s="10" t="n">
        <f aca="false">+H11+I11</f>
        <v>7077000</v>
      </c>
    </row>
    <row r="12" customFormat="false" ht="15" hidden="true" customHeight="false" outlineLevel="1" collapsed="false">
      <c r="B12" s="31" t="s">
        <v>244</v>
      </c>
      <c r="C12" s="59"/>
      <c r="D12" s="59"/>
      <c r="E12" s="59"/>
      <c r="F12" s="10" t="n">
        <v>5470478</v>
      </c>
      <c r="G12" s="10"/>
      <c r="H12" s="10" t="n">
        <f aca="false">+F12+G12</f>
        <v>5470478</v>
      </c>
      <c r="I12" s="10"/>
      <c r="J12" s="10" t="n">
        <f aca="false">+H12+I12</f>
        <v>5470478</v>
      </c>
    </row>
    <row r="13" customFormat="false" ht="15" hidden="true" customHeight="false" outlineLevel="1" collapsed="false">
      <c r="B13" s="31" t="s">
        <v>245</v>
      </c>
      <c r="C13" s="59"/>
      <c r="D13" s="59"/>
      <c r="E13" s="59"/>
      <c r="F13" s="10" t="n">
        <v>270000</v>
      </c>
      <c r="G13" s="10"/>
      <c r="H13" s="10" t="n">
        <f aca="false">+F13+G13</f>
        <v>270000</v>
      </c>
      <c r="I13" s="10"/>
      <c r="J13" s="10" t="n">
        <f aca="false">+H13+I13</f>
        <v>270000</v>
      </c>
    </row>
    <row r="14" customFormat="false" ht="15" hidden="true" customHeight="false" outlineLevel="1" collapsed="false">
      <c r="B14" s="31" t="s">
        <v>246</v>
      </c>
      <c r="C14" s="59"/>
      <c r="D14" s="59"/>
      <c r="E14" s="59"/>
      <c r="F14" s="10" t="n">
        <v>23879352</v>
      </c>
      <c r="G14" s="10" t="n">
        <f aca="false">+G9+G10</f>
        <v>5260602</v>
      </c>
      <c r="H14" s="10" t="n">
        <f aca="false">+F14+G14</f>
        <v>29139954</v>
      </c>
      <c r="I14" s="10"/>
      <c r="J14" s="10" t="n">
        <f aca="false">+H14+I14</f>
        <v>29139954</v>
      </c>
    </row>
    <row r="15" customFormat="false" ht="15" hidden="true" customHeight="false" outlineLevel="1" collapsed="false">
      <c r="B15" s="31" t="s">
        <v>247</v>
      </c>
      <c r="C15" s="59"/>
      <c r="D15" s="59"/>
      <c r="E15" s="59"/>
      <c r="F15" s="25" t="n">
        <v>0</v>
      </c>
      <c r="G15" s="25" t="n">
        <v>2340607</v>
      </c>
      <c r="H15" s="25" t="n">
        <f aca="false">+F15+G15</f>
        <v>2340607</v>
      </c>
      <c r="I15" s="25"/>
      <c r="J15" s="25" t="n">
        <f aca="false">+H15+I15</f>
        <v>2340607</v>
      </c>
    </row>
    <row r="16" customFormat="false" ht="15" hidden="true" customHeight="false" outlineLevel="0" collapsed="false">
      <c r="B16" s="31" t="s">
        <v>248</v>
      </c>
      <c r="C16" s="59"/>
      <c r="D16" s="59"/>
      <c r="E16" s="59"/>
      <c r="F16" s="6" t="n">
        <f aca="false">+F14+F15</f>
        <v>23879352</v>
      </c>
      <c r="G16" s="6" t="n">
        <f aca="false">+G14+G15</f>
        <v>7601209</v>
      </c>
      <c r="H16" s="6" t="n">
        <f aca="false">+H14+H15</f>
        <v>31480561</v>
      </c>
      <c r="I16" s="6" t="n">
        <f aca="false">+I14+I15</f>
        <v>0</v>
      </c>
      <c r="J16" s="6" t="n">
        <f aca="false">+J14+J15</f>
        <v>31480561</v>
      </c>
    </row>
    <row r="17" customFormat="false" ht="15" hidden="true" customHeight="false" outlineLevel="0" collapsed="false">
      <c r="B17" s="31" t="s">
        <v>249</v>
      </c>
      <c r="C17" s="59"/>
      <c r="D17" s="59"/>
      <c r="E17" s="59"/>
      <c r="F17" s="10" t="n">
        <v>6127345</v>
      </c>
      <c r="G17" s="10" t="n">
        <v>0</v>
      </c>
      <c r="H17" s="10" t="n">
        <f aca="false">+F17+G17</f>
        <v>6127345</v>
      </c>
      <c r="I17" s="10"/>
      <c r="J17" s="10" t="n">
        <f aca="false">+H17+I17</f>
        <v>6127345</v>
      </c>
    </row>
    <row r="18" customFormat="false" ht="15" hidden="true" customHeight="false" outlineLevel="0" collapsed="false">
      <c r="B18" s="31" t="s">
        <v>247</v>
      </c>
      <c r="C18" s="59"/>
      <c r="D18" s="59"/>
      <c r="E18" s="59"/>
      <c r="F18" s="25" t="n">
        <v>0</v>
      </c>
      <c r="G18" s="25" t="n">
        <v>3414354</v>
      </c>
      <c r="H18" s="10" t="n">
        <f aca="false">+F18+G18</f>
        <v>3414354</v>
      </c>
      <c r="I18" s="25"/>
      <c r="J18" s="10" t="n">
        <f aca="false">+H18+I18</f>
        <v>3414354</v>
      </c>
    </row>
    <row r="19" customFormat="false" ht="15" hidden="false" customHeight="false" outlineLevel="0" collapsed="false">
      <c r="B19" s="31" t="s">
        <v>250</v>
      </c>
      <c r="C19" s="59"/>
      <c r="D19" s="59"/>
      <c r="E19" s="59"/>
      <c r="F19" s="6" t="n">
        <f aca="false">+F16+F17</f>
        <v>30006697</v>
      </c>
      <c r="G19" s="6" t="n">
        <f aca="false">+G16+G17+G18</f>
        <v>11015563</v>
      </c>
      <c r="H19" s="6" t="n">
        <f aca="false">+H16+H17+H18</f>
        <v>41022260</v>
      </c>
      <c r="I19" s="6"/>
      <c r="J19" s="6" t="n">
        <f aca="false">+J16+J17+J18</f>
        <v>41022260</v>
      </c>
    </row>
    <row r="20" customFormat="false" ht="15" hidden="false" customHeight="false" outlineLevel="0" collapsed="false">
      <c r="B20" s="31" t="s">
        <v>247</v>
      </c>
      <c r="C20" s="59"/>
      <c r="D20" s="59"/>
      <c r="E20" s="59"/>
      <c r="F20" s="10" t="n">
        <v>5035990</v>
      </c>
      <c r="G20" s="10" t="n">
        <v>2143739</v>
      </c>
      <c r="H20" s="10" t="n">
        <f aca="false">+F20+G20</f>
        <v>7179729</v>
      </c>
      <c r="I20" s="10"/>
      <c r="J20" s="10" t="n">
        <f aca="false">+H20+I20</f>
        <v>7179729</v>
      </c>
    </row>
    <row r="21" customFormat="false" ht="15" hidden="false" customHeight="false" outlineLevel="0" collapsed="false">
      <c r="B21" s="31" t="s">
        <v>251</v>
      </c>
      <c r="C21" s="59"/>
      <c r="D21" s="59"/>
      <c r="E21" s="59"/>
      <c r="F21" s="6" t="n">
        <f aca="false">SUM(F19:F20)</f>
        <v>35042687</v>
      </c>
      <c r="G21" s="6" t="n">
        <f aca="false">SUM(G19:G20)</f>
        <v>13159302</v>
      </c>
      <c r="H21" s="6" t="n">
        <f aca="false">SUM(H19:H20)</f>
        <v>48201989</v>
      </c>
      <c r="I21" s="6" t="n">
        <f aca="false">SUM(I19:I20)</f>
        <v>0</v>
      </c>
      <c r="J21" s="6" t="n">
        <f aca="false">SUM(J19:J20)</f>
        <v>48201989</v>
      </c>
    </row>
    <row r="22" customFormat="false" ht="15" hidden="false" customHeight="false" outlineLevel="0" collapsed="false">
      <c r="B22" s="31" t="s">
        <v>252</v>
      </c>
      <c r="C22" s="59"/>
      <c r="D22" s="59"/>
      <c r="E22" s="59"/>
      <c r="F22" s="10" t="n">
        <v>8215675</v>
      </c>
      <c r="G22" s="10"/>
      <c r="H22" s="10" t="n">
        <f aca="false">+F22+G22</f>
        <v>8215675</v>
      </c>
      <c r="I22" s="10"/>
      <c r="J22" s="10" t="n">
        <f aca="false">+H22+I22</f>
        <v>8215675</v>
      </c>
    </row>
    <row r="23" customFormat="false" ht="15" hidden="false" customHeight="false" outlineLevel="0" collapsed="false">
      <c r="B23" s="31" t="s">
        <v>253</v>
      </c>
      <c r="C23" s="59"/>
      <c r="D23" s="59"/>
      <c r="E23" s="59"/>
      <c r="F23" s="10" t="n">
        <v>-6115000</v>
      </c>
      <c r="G23" s="10"/>
      <c r="H23" s="10" t="n">
        <f aca="false">+F23+G23</f>
        <v>-6115000</v>
      </c>
      <c r="I23" s="10"/>
      <c r="J23" s="10" t="n">
        <f aca="false">+H23+I23</f>
        <v>-6115000</v>
      </c>
    </row>
    <row r="24" customFormat="false" ht="13.8" hidden="false" customHeight="false" outlineLevel="0" collapsed="false">
      <c r="B24" s="31" t="s">
        <v>254</v>
      </c>
      <c r="C24" s="59"/>
      <c r="D24" s="59"/>
      <c r="E24" s="59"/>
      <c r="F24" s="180" t="n">
        <f aca="false">SUM(F21:F23)</f>
        <v>37143362</v>
      </c>
      <c r="G24" s="180" t="n">
        <f aca="false">SUM(G21:G23)</f>
        <v>13159302</v>
      </c>
      <c r="H24" s="180" t="n">
        <f aca="false">SUM(H21:H23)</f>
        <v>50302664</v>
      </c>
      <c r="I24" s="180" t="n">
        <f aca="false">SUM(I21:I23)</f>
        <v>0</v>
      </c>
      <c r="J24" s="180" t="n">
        <f aca="false">SUM(J21:J23)</f>
        <v>50302664</v>
      </c>
    </row>
    <row r="25" customFormat="false" ht="13.8" hidden="false" customHeight="false" outlineLevel="0" collapsed="false">
      <c r="B25" s="31" t="s">
        <v>255</v>
      </c>
      <c r="C25" s="59"/>
      <c r="D25" s="59"/>
      <c r="E25" s="59"/>
      <c r="F25" s="181" t="n">
        <v>-21629181</v>
      </c>
      <c r="G25" s="181"/>
      <c r="H25" s="10" t="n">
        <f aca="false">+F25+G25</f>
        <v>-21629181</v>
      </c>
      <c r="I25" s="181"/>
      <c r="J25" s="181"/>
    </row>
    <row r="26" customFormat="false" ht="13.8" hidden="false" customHeight="false" outlineLevel="0" collapsed="false">
      <c r="B26" s="31" t="s">
        <v>252</v>
      </c>
      <c r="C26" s="59"/>
      <c r="D26" s="59"/>
      <c r="E26" s="59"/>
      <c r="F26" s="182" t="n">
        <v>6115000</v>
      </c>
      <c r="G26" s="182" t="n">
        <v>5404856</v>
      </c>
      <c r="H26" s="10" t="n">
        <f aca="false">+F26+G26</f>
        <v>11519856</v>
      </c>
      <c r="I26" s="182"/>
      <c r="J26" s="182"/>
    </row>
    <row r="27" customFormat="false" ht="13.8" hidden="false" customHeight="false" outlineLevel="0" collapsed="false">
      <c r="B27" s="31" t="s">
        <v>256</v>
      </c>
      <c r="C27" s="59"/>
      <c r="D27" s="59"/>
      <c r="E27" s="59"/>
      <c r="F27" s="183" t="n">
        <f aca="false">SUM(F24:F26)</f>
        <v>21629181</v>
      </c>
      <c r="G27" s="183" t="n">
        <f aca="false">SUM(G24:G26)</f>
        <v>18564158</v>
      </c>
      <c r="H27" s="183" t="n">
        <f aca="false">SUM(H24:H26)</f>
        <v>40193339</v>
      </c>
      <c r="I27" s="183" t="n">
        <f aca="false">SUM(I24:I26)</f>
        <v>0</v>
      </c>
      <c r="J27" s="183" t="n">
        <f aca="false">SUM(J24:J26)</f>
        <v>50302664</v>
      </c>
    </row>
    <row r="28" customFormat="false" ht="15.75" hidden="false" customHeight="false" outlineLevel="0" collapsed="false">
      <c r="B28" s="31"/>
      <c r="C28" s="59"/>
      <c r="D28" s="59"/>
      <c r="E28" s="59"/>
      <c r="F28" s="10"/>
      <c r="G28" s="10"/>
      <c r="H28" s="10"/>
      <c r="I28" s="10"/>
      <c r="J28" s="10"/>
    </row>
    <row r="29" customFormat="false" ht="15" hidden="false" customHeight="false" outlineLevel="0" collapsed="false">
      <c r="B29" s="184" t="s">
        <v>257</v>
      </c>
      <c r="C29" s="59"/>
      <c r="D29" s="59"/>
      <c r="E29" s="59"/>
      <c r="F29" s="10"/>
      <c r="G29" s="10"/>
      <c r="H29" s="10"/>
      <c r="I29" s="10"/>
      <c r="J29" s="10"/>
    </row>
    <row r="30" customFormat="false" ht="15" hidden="true" customHeight="false" outlineLevel="1" collapsed="false">
      <c r="B30" s="31" t="s">
        <v>258</v>
      </c>
      <c r="C30" s="59"/>
      <c r="D30" s="59"/>
      <c r="E30" s="59"/>
      <c r="F30" s="10" t="n">
        <v>9572420</v>
      </c>
      <c r="G30" s="10"/>
      <c r="H30" s="10" t="n">
        <f aca="false">+F30+G30</f>
        <v>9572420</v>
      </c>
      <c r="I30" s="10"/>
      <c r="J30" s="10" t="n">
        <f aca="false">+H30+I30</f>
        <v>9572420</v>
      </c>
    </row>
    <row r="31" customFormat="false" ht="15" hidden="true" customHeight="false" outlineLevel="1" collapsed="false">
      <c r="B31" s="31" t="s">
        <v>259</v>
      </c>
      <c r="C31" s="59"/>
      <c r="D31" s="59"/>
      <c r="E31" s="59"/>
      <c r="F31" s="10" t="n">
        <v>1304919</v>
      </c>
      <c r="G31" s="10"/>
      <c r="H31" s="10" t="n">
        <f aca="false">+F31+G31</f>
        <v>1304919</v>
      </c>
      <c r="I31" s="10"/>
      <c r="J31" s="10" t="n">
        <f aca="false">+H31+I31</f>
        <v>1304919</v>
      </c>
    </row>
    <row r="32" customFormat="false" ht="15" hidden="true" customHeight="false" outlineLevel="1" collapsed="false">
      <c r="B32" s="31" t="s">
        <v>241</v>
      </c>
      <c r="C32" s="59"/>
      <c r="D32" s="59"/>
      <c r="E32" s="59"/>
      <c r="F32" s="10" t="n">
        <f aca="false">+F30+F31</f>
        <v>10877339</v>
      </c>
      <c r="G32" s="10"/>
      <c r="H32" s="10" t="n">
        <f aca="false">+F32+G32</f>
        <v>10877339</v>
      </c>
      <c r="I32" s="10"/>
      <c r="J32" s="10" t="n">
        <f aca="false">+H32+I32</f>
        <v>10877339</v>
      </c>
    </row>
    <row r="33" customFormat="false" ht="15" hidden="true" customHeight="false" outlineLevel="1" collapsed="false">
      <c r="B33" s="31" t="s">
        <v>260</v>
      </c>
      <c r="C33" s="59"/>
      <c r="D33" s="59"/>
      <c r="E33" s="59"/>
      <c r="F33" s="10" t="n">
        <v>-3094403</v>
      </c>
      <c r="G33" s="10"/>
      <c r="H33" s="10" t="n">
        <f aca="false">+F33+G33</f>
        <v>-3094403</v>
      </c>
      <c r="I33" s="18"/>
      <c r="J33" s="10" t="n">
        <f aca="false">+H33+I33</f>
        <v>-3094403</v>
      </c>
    </row>
    <row r="34" customFormat="false" ht="15" hidden="true" customHeight="false" outlineLevel="1" collapsed="false">
      <c r="B34" s="31" t="s">
        <v>243</v>
      </c>
      <c r="C34" s="59"/>
      <c r="D34" s="59"/>
      <c r="E34" s="59"/>
      <c r="F34" s="10" t="n">
        <v>-7077000</v>
      </c>
      <c r="G34" s="10"/>
      <c r="H34" s="10" t="n">
        <f aca="false">+F34+G34</f>
        <v>-7077000</v>
      </c>
      <c r="I34" s="18"/>
      <c r="J34" s="10" t="n">
        <f aca="false">+H34+I34</f>
        <v>-7077000</v>
      </c>
    </row>
    <row r="35" customFormat="false" ht="15" hidden="true" customHeight="false" outlineLevel="1" collapsed="false">
      <c r="B35" s="31" t="s">
        <v>246</v>
      </c>
      <c r="C35" s="59"/>
      <c r="D35" s="59"/>
      <c r="E35" s="59"/>
      <c r="F35" s="25" t="n">
        <f aca="false">SUM(F32:F34)</f>
        <v>705936</v>
      </c>
      <c r="G35" s="25" t="n">
        <v>0</v>
      </c>
      <c r="H35" s="25" t="n">
        <f aca="false">+F35+G35</f>
        <v>705936</v>
      </c>
      <c r="I35" s="28"/>
      <c r="J35" s="25" t="n">
        <f aca="false">+H35+I35</f>
        <v>705936</v>
      </c>
    </row>
    <row r="36" customFormat="false" ht="15" hidden="true" customHeight="false" outlineLevel="0" collapsed="false">
      <c r="B36" s="31" t="s">
        <v>248</v>
      </c>
      <c r="C36" s="59"/>
      <c r="D36" s="59"/>
      <c r="E36" s="59"/>
      <c r="F36" s="6" t="n">
        <f aca="false">+F35</f>
        <v>705936</v>
      </c>
      <c r="G36" s="6" t="n">
        <v>0</v>
      </c>
      <c r="H36" s="6" t="n">
        <f aca="false">+F36+G36</f>
        <v>705936</v>
      </c>
      <c r="I36" s="17"/>
      <c r="J36" s="6" t="n">
        <f aca="false">+H36+I36</f>
        <v>705936</v>
      </c>
    </row>
    <row r="37" customFormat="false" ht="42.75" hidden="true" customHeight="true" outlineLevel="0" collapsed="false">
      <c r="B37" s="185" t="s">
        <v>261</v>
      </c>
      <c r="C37" s="185"/>
      <c r="D37" s="185"/>
      <c r="E37" s="185"/>
      <c r="F37" s="25" t="n">
        <v>-705016</v>
      </c>
      <c r="G37" s="25" t="n">
        <v>0</v>
      </c>
      <c r="H37" s="25" t="n">
        <f aca="false">+F37+G37</f>
        <v>-705016</v>
      </c>
      <c r="I37" s="28"/>
      <c r="J37" s="25" t="n">
        <f aca="false">+H37+I37</f>
        <v>-705016</v>
      </c>
    </row>
    <row r="38" customFormat="false" ht="15" hidden="false" customHeight="false" outlineLevel="0" collapsed="false">
      <c r="B38" s="186" t="s">
        <v>250</v>
      </c>
      <c r="C38" s="186"/>
      <c r="D38" s="186"/>
      <c r="E38" s="186"/>
      <c r="F38" s="6" t="n">
        <f aca="false">+F36+F37</f>
        <v>920</v>
      </c>
      <c r="G38" s="6" t="n">
        <v>0</v>
      </c>
      <c r="H38" s="6" t="n">
        <f aca="false">+F38+G38</f>
        <v>920</v>
      </c>
      <c r="I38" s="17"/>
      <c r="J38" s="6" t="n">
        <f aca="false">+H38+I38</f>
        <v>920</v>
      </c>
    </row>
    <row r="39" customFormat="false" ht="15" hidden="false" customHeight="false" outlineLevel="0" collapsed="false">
      <c r="B39" s="186" t="s">
        <v>251</v>
      </c>
      <c r="C39" s="186"/>
      <c r="D39" s="186"/>
      <c r="E39" s="186"/>
      <c r="F39" s="6" t="n">
        <f aca="false">SUM(F38:F38)</f>
        <v>920</v>
      </c>
      <c r="G39" s="6" t="n">
        <f aca="false">SUM(G38:G38)</f>
        <v>0</v>
      </c>
      <c r="H39" s="6" t="n">
        <f aca="false">SUM(H38:H38)</f>
        <v>920</v>
      </c>
      <c r="I39" s="6" t="n">
        <f aca="false">SUM(I38:I38)</f>
        <v>0</v>
      </c>
      <c r="J39" s="6" t="n">
        <f aca="false">SUM(J38:J38)</f>
        <v>920</v>
      </c>
    </row>
    <row r="40" customFormat="false" ht="15" hidden="false" customHeight="false" outlineLevel="0" collapsed="false">
      <c r="B40" s="186" t="s">
        <v>262</v>
      </c>
      <c r="C40" s="186"/>
      <c r="D40" s="186"/>
      <c r="E40" s="186"/>
      <c r="F40" s="10" t="n">
        <v>6115000</v>
      </c>
      <c r="G40" s="10"/>
      <c r="H40" s="10" t="n">
        <f aca="false">+F40+G40</f>
        <v>6115000</v>
      </c>
      <c r="I40" s="10"/>
      <c r="J40" s="10" t="n">
        <f aca="false">+H40+I40</f>
        <v>6115000</v>
      </c>
    </row>
    <row r="41" customFormat="false" ht="13.8" hidden="false" customHeight="false" outlineLevel="0" collapsed="false">
      <c r="B41" s="31" t="s">
        <v>254</v>
      </c>
      <c r="C41" s="59"/>
      <c r="D41" s="59"/>
      <c r="E41" s="59"/>
      <c r="F41" s="180" t="n">
        <f aca="false">+F39+F40</f>
        <v>6115920</v>
      </c>
      <c r="G41" s="180" t="n">
        <f aca="false">+G39+G40</f>
        <v>0</v>
      </c>
      <c r="H41" s="180" t="n">
        <f aca="false">+H39+H40</f>
        <v>6115920</v>
      </c>
      <c r="I41" s="180" t="n">
        <f aca="false">+I39+I40</f>
        <v>0</v>
      </c>
      <c r="J41" s="180" t="n">
        <f aca="false">+J39+J40</f>
        <v>6115920</v>
      </c>
    </row>
    <row r="42" customFormat="false" ht="13.8" hidden="false" customHeight="false" outlineLevel="0" collapsed="false">
      <c r="B42" s="31" t="s">
        <v>263</v>
      </c>
      <c r="C42" s="59"/>
      <c r="D42" s="59"/>
      <c r="E42" s="59"/>
      <c r="F42" s="182" t="n">
        <v>-6115000</v>
      </c>
      <c r="G42" s="182"/>
      <c r="H42" s="182" t="n">
        <f aca="false">+F42+G42</f>
        <v>-6115000</v>
      </c>
      <c r="I42" s="182"/>
      <c r="J42" s="182" t="n">
        <f aca="false">+H42+I42</f>
        <v>-6115000</v>
      </c>
    </row>
    <row r="43" customFormat="false" ht="13.8" hidden="false" customHeight="false" outlineLevel="0" collapsed="false">
      <c r="B43" s="31" t="s">
        <v>256</v>
      </c>
      <c r="C43" s="59"/>
      <c r="D43" s="59"/>
      <c r="E43" s="59"/>
      <c r="F43" s="180" t="n">
        <f aca="false">SUM(F41:F42)</f>
        <v>920</v>
      </c>
      <c r="G43" s="180" t="n">
        <f aca="false">SUM(G41:G42)</f>
        <v>0</v>
      </c>
      <c r="H43" s="180" t="n">
        <f aca="false">SUM(H41:H42)</f>
        <v>920</v>
      </c>
      <c r="I43" s="180" t="n">
        <f aca="false">SUM(I41:I42)</f>
        <v>0</v>
      </c>
      <c r="J43" s="180" t="n">
        <f aca="false">SUM(J41:J42)</f>
        <v>920</v>
      </c>
    </row>
    <row r="44" customFormat="false" ht="13.8" hidden="false" customHeight="false" outlineLevel="0" collapsed="false">
      <c r="B44" s="31"/>
      <c r="C44" s="59"/>
      <c r="D44" s="59"/>
      <c r="E44" s="59"/>
      <c r="F44" s="10"/>
      <c r="G44" s="10"/>
      <c r="H44" s="10"/>
      <c r="I44" s="10"/>
      <c r="J44" s="10"/>
    </row>
    <row r="45" customFormat="false" ht="15" hidden="false" customHeight="false" outlineLevel="0" collapsed="false">
      <c r="B45" s="184" t="s">
        <v>264</v>
      </c>
      <c r="C45" s="59"/>
      <c r="D45" s="59"/>
      <c r="E45" s="59"/>
      <c r="F45" s="10"/>
      <c r="G45" s="10"/>
      <c r="H45" s="10"/>
      <c r="I45" s="18"/>
      <c r="J45" s="18"/>
    </row>
    <row r="46" customFormat="false" ht="15" hidden="true" customHeight="false" outlineLevel="1" collapsed="false">
      <c r="B46" s="31" t="s">
        <v>258</v>
      </c>
      <c r="C46" s="59"/>
      <c r="D46" s="59"/>
      <c r="E46" s="59"/>
      <c r="F46" s="10" t="n">
        <v>570206</v>
      </c>
      <c r="G46" s="10" t="n">
        <v>516352</v>
      </c>
      <c r="H46" s="10" t="n">
        <f aca="false">+F46+G46</f>
        <v>1086558</v>
      </c>
      <c r="I46" s="18"/>
      <c r="J46" s="71" t="n">
        <f aca="false">+H46+I46</f>
        <v>1086558</v>
      </c>
    </row>
    <row r="47" customFormat="false" ht="15" hidden="true" customHeight="false" outlineLevel="1" collapsed="false">
      <c r="B47" s="31" t="s">
        <v>265</v>
      </c>
      <c r="C47" s="59"/>
      <c r="D47" s="59"/>
      <c r="E47" s="59"/>
      <c r="F47" s="10" t="n">
        <v>359244</v>
      </c>
      <c r="G47" s="10"/>
      <c r="H47" s="10" t="n">
        <f aca="false">+F47+G47</f>
        <v>359244</v>
      </c>
      <c r="I47" s="18"/>
      <c r="J47" s="10" t="n">
        <f aca="false">+H47+I47</f>
        <v>359244</v>
      </c>
    </row>
    <row r="48" customFormat="false" ht="15" hidden="true" customHeight="false" outlineLevel="1" collapsed="false">
      <c r="B48" s="31" t="s">
        <v>241</v>
      </c>
      <c r="C48" s="59"/>
      <c r="D48" s="59"/>
      <c r="E48" s="59"/>
      <c r="F48" s="10" t="n">
        <f aca="false">+F47+F46</f>
        <v>929450</v>
      </c>
      <c r="G48" s="10" t="n">
        <f aca="false">+G46+G47</f>
        <v>516352</v>
      </c>
      <c r="H48" s="10" t="n">
        <f aca="false">+F48+G48</f>
        <v>1445802</v>
      </c>
      <c r="I48" s="18"/>
      <c r="J48" s="10" t="n">
        <f aca="false">+H48+I48</f>
        <v>1445802</v>
      </c>
    </row>
    <row r="49" customFormat="false" ht="15" hidden="true" customHeight="false" outlineLevel="1" collapsed="false">
      <c r="B49" s="31" t="s">
        <v>266</v>
      </c>
      <c r="C49" s="59"/>
      <c r="D49" s="59"/>
      <c r="E49" s="59"/>
      <c r="F49" s="10" t="n">
        <v>1710803</v>
      </c>
      <c r="G49" s="10" t="n">
        <v>136481</v>
      </c>
      <c r="H49" s="10" t="n">
        <f aca="false">+F49+G49</f>
        <v>1847284</v>
      </c>
      <c r="I49" s="18"/>
      <c r="J49" s="10" t="n">
        <f aca="false">+H49+I49</f>
        <v>1847284</v>
      </c>
    </row>
    <row r="50" customFormat="false" ht="15" hidden="true" customHeight="false" outlineLevel="1" collapsed="false">
      <c r="B50" s="31" t="s">
        <v>246</v>
      </c>
      <c r="C50" s="59"/>
      <c r="D50" s="59"/>
      <c r="E50" s="59"/>
      <c r="F50" s="10" t="n">
        <f aca="false">+F49+F48</f>
        <v>2640253</v>
      </c>
      <c r="G50" s="10" t="n">
        <f aca="false">+G49+G48</f>
        <v>652833</v>
      </c>
      <c r="H50" s="10" t="n">
        <f aca="false">+F50+G50</f>
        <v>3293086</v>
      </c>
      <c r="I50" s="18"/>
      <c r="J50" s="10" t="n">
        <f aca="false">+H50+I50</f>
        <v>3293086</v>
      </c>
    </row>
    <row r="51" customFormat="false" ht="15" hidden="true" customHeight="false" outlineLevel="1" collapsed="false">
      <c r="B51" s="31" t="s">
        <v>267</v>
      </c>
      <c r="C51" s="59"/>
      <c r="D51" s="59"/>
      <c r="E51" s="59"/>
      <c r="F51" s="6" t="n">
        <f aca="false">+F50</f>
        <v>2640253</v>
      </c>
      <c r="G51" s="6" t="n">
        <f aca="false">+G50</f>
        <v>652833</v>
      </c>
      <c r="H51" s="6" t="n">
        <f aca="false">+H50</f>
        <v>3293086</v>
      </c>
      <c r="I51" s="6" t="n">
        <f aca="false">+I50</f>
        <v>0</v>
      </c>
      <c r="J51" s="6" t="n">
        <f aca="false">+J50</f>
        <v>3293086</v>
      </c>
    </row>
    <row r="52" customFormat="false" ht="15" hidden="true" customHeight="false" outlineLevel="1" collapsed="false">
      <c r="B52" s="31" t="s">
        <v>266</v>
      </c>
      <c r="C52" s="59"/>
      <c r="D52" s="59"/>
      <c r="E52" s="59"/>
      <c r="F52" s="27" t="n">
        <v>1341885</v>
      </c>
      <c r="G52" s="27" t="n">
        <v>260067</v>
      </c>
      <c r="H52" s="10" t="n">
        <f aca="false">+F52+G52</f>
        <v>1601952</v>
      </c>
      <c r="I52" s="18"/>
      <c r="J52" s="10" t="n">
        <f aca="false">+H52+I52</f>
        <v>1601952</v>
      </c>
    </row>
    <row r="53" customFormat="false" ht="15" hidden="true" customHeight="false" outlineLevel="1" collapsed="false">
      <c r="B53" s="56" t="s">
        <v>268</v>
      </c>
      <c r="C53" s="59"/>
      <c r="D53" s="59"/>
      <c r="E53" s="59"/>
      <c r="F53" s="10"/>
      <c r="G53" s="187" t="n">
        <v>379372</v>
      </c>
      <c r="H53" s="10" t="n">
        <f aca="false">+F53+G53</f>
        <v>379372</v>
      </c>
      <c r="I53" s="18"/>
      <c r="J53" s="10" t="n">
        <f aca="false">+H53+I53</f>
        <v>379372</v>
      </c>
    </row>
    <row r="54" customFormat="false" ht="15" hidden="true" customHeight="false" outlineLevel="0" collapsed="false">
      <c r="B54" s="31" t="s">
        <v>269</v>
      </c>
      <c r="C54" s="59"/>
      <c r="D54" s="59"/>
      <c r="E54" s="59"/>
      <c r="F54" s="6" t="n">
        <f aca="false">+F50+F52</f>
        <v>3982138</v>
      </c>
      <c r="G54" s="6" t="n">
        <f aca="false">+G51+G52+G53</f>
        <v>1292272</v>
      </c>
      <c r="H54" s="6" t="n">
        <f aca="false">+H51+H52+H53</f>
        <v>5274410</v>
      </c>
      <c r="I54" s="6" t="n">
        <f aca="false">+I50+I52</f>
        <v>0</v>
      </c>
      <c r="J54" s="6" t="n">
        <f aca="false">+J51+J52+J53</f>
        <v>5274410</v>
      </c>
    </row>
    <row r="55" customFormat="false" ht="15" hidden="true" customHeight="false" outlineLevel="0" collapsed="false">
      <c r="B55" s="31" t="s">
        <v>255</v>
      </c>
      <c r="C55" s="59"/>
      <c r="D55" s="59"/>
      <c r="E55" s="59"/>
      <c r="F55" s="10" t="n">
        <v>680816</v>
      </c>
      <c r="G55" s="10" t="n">
        <v>259368</v>
      </c>
      <c r="H55" s="10" t="n">
        <f aca="false">+F55+G55</f>
        <v>940184</v>
      </c>
      <c r="I55" s="10"/>
      <c r="J55" s="10" t="n">
        <f aca="false">+H55+I55</f>
        <v>940184</v>
      </c>
    </row>
    <row r="56" customFormat="false" ht="15" hidden="false" customHeight="false" outlineLevel="0" collapsed="false">
      <c r="B56" s="31" t="s">
        <v>270</v>
      </c>
      <c r="C56" s="59"/>
      <c r="D56" s="59"/>
      <c r="E56" s="59"/>
      <c r="F56" s="6" t="n">
        <v>4662954</v>
      </c>
      <c r="G56" s="6" t="n">
        <f aca="false">+G54+G55</f>
        <v>1551640</v>
      </c>
      <c r="H56" s="6" t="n">
        <f aca="false">+H54+H55</f>
        <v>6214594</v>
      </c>
      <c r="I56" s="6"/>
      <c r="J56" s="6" t="n">
        <f aca="false">+J54+J55</f>
        <v>6214594</v>
      </c>
    </row>
    <row r="57" customFormat="false" ht="15" hidden="false" customHeight="false" outlineLevel="0" collapsed="false">
      <c r="B57" s="31" t="s">
        <v>271</v>
      </c>
      <c r="C57" s="59"/>
      <c r="D57" s="59"/>
      <c r="E57" s="50"/>
      <c r="F57" s="10" t="n">
        <v>559555</v>
      </c>
      <c r="G57" s="10"/>
      <c r="H57" s="10" t="n">
        <f aca="false">+F57+G57</f>
        <v>559555</v>
      </c>
      <c r="I57" s="18"/>
      <c r="J57" s="71" t="n">
        <f aca="false">+H57+I57</f>
        <v>559555</v>
      </c>
    </row>
    <row r="58" customFormat="false" ht="15" hidden="false" customHeight="false" outlineLevel="0" collapsed="false">
      <c r="B58" s="31" t="s">
        <v>251</v>
      </c>
      <c r="C58" s="59"/>
      <c r="D58" s="59"/>
      <c r="E58" s="59"/>
      <c r="F58" s="6" t="n">
        <f aca="false">SUM(F56:F57)</f>
        <v>5222509</v>
      </c>
      <c r="G58" s="6" t="n">
        <f aca="false">SUM(G56:G57)</f>
        <v>1551640</v>
      </c>
      <c r="H58" s="6" t="n">
        <f aca="false">SUM(H56:H57)</f>
        <v>6774149</v>
      </c>
      <c r="I58" s="6" t="n">
        <f aca="false">SUM(I56:I57)</f>
        <v>0</v>
      </c>
      <c r="J58" s="6" t="n">
        <f aca="false">SUM(J56:J57)</f>
        <v>6774149</v>
      </c>
      <c r="K58" s="33"/>
    </row>
    <row r="59" customFormat="false" ht="15" hidden="false" customHeight="false" outlineLevel="0" collapsed="false">
      <c r="B59" s="31" t="s">
        <v>266</v>
      </c>
      <c r="C59" s="59"/>
      <c r="D59" s="59"/>
      <c r="E59" s="59"/>
      <c r="F59" s="10" t="n">
        <v>912853</v>
      </c>
      <c r="G59" s="10" t="n">
        <v>374781</v>
      </c>
      <c r="H59" s="10" t="n">
        <f aca="false">+F59+G59</f>
        <v>1287634</v>
      </c>
      <c r="I59" s="10"/>
      <c r="J59" s="10" t="n">
        <f aca="false">+H59+I59</f>
        <v>1287634</v>
      </c>
      <c r="K59" s="33"/>
    </row>
    <row r="60" customFormat="false" ht="15.75" hidden="false" customHeight="false" outlineLevel="0" collapsed="false">
      <c r="B60" s="31" t="s">
        <v>254</v>
      </c>
      <c r="C60" s="59"/>
      <c r="D60" s="59"/>
      <c r="E60" s="59"/>
      <c r="F60" s="183" t="n">
        <f aca="false">+F58+F59</f>
        <v>6135362</v>
      </c>
      <c r="G60" s="183" t="n">
        <f aca="false">+G58+G59</f>
        <v>1926421</v>
      </c>
      <c r="H60" s="183" t="n">
        <f aca="false">+H58+H59</f>
        <v>8061783</v>
      </c>
      <c r="I60" s="183" t="n">
        <f aca="false">+I58+I59</f>
        <v>0</v>
      </c>
      <c r="J60" s="183" t="n">
        <f aca="false">+J58+J59</f>
        <v>8061783</v>
      </c>
      <c r="K60" s="33"/>
    </row>
    <row r="61" customFormat="false" ht="13.8" hidden="false" customHeight="false" outlineLevel="0" collapsed="false">
      <c r="B61" s="31" t="s">
        <v>252</v>
      </c>
      <c r="C61" s="59"/>
      <c r="D61" s="59"/>
      <c r="E61" s="59"/>
      <c r="F61" s="182" t="n">
        <v>0</v>
      </c>
      <c r="G61" s="182" t="n">
        <v>709264</v>
      </c>
      <c r="H61" s="10" t="n">
        <f aca="false">+F61+G61</f>
        <v>709264</v>
      </c>
      <c r="I61" s="182"/>
      <c r="J61" s="10" t="n">
        <f aca="false">+H61+I61</f>
        <v>709264</v>
      </c>
      <c r="K61" s="33"/>
    </row>
    <row r="62" customFormat="false" ht="13.8" hidden="false" customHeight="false" outlineLevel="0" collapsed="false">
      <c r="B62" s="31" t="s">
        <v>256</v>
      </c>
      <c r="C62" s="59"/>
      <c r="D62" s="59"/>
      <c r="E62" s="59"/>
      <c r="F62" s="183" t="n">
        <f aca="false">SUM(F60:F61)</f>
        <v>6135362</v>
      </c>
      <c r="G62" s="183" t="n">
        <f aca="false">SUM(G60:G61)</f>
        <v>2635685</v>
      </c>
      <c r="H62" s="183" t="n">
        <f aca="false">SUM(H60:H61)</f>
        <v>8771047</v>
      </c>
      <c r="I62" s="183" t="n">
        <f aca="false">SUM(I60:I61)</f>
        <v>0</v>
      </c>
      <c r="J62" s="183" t="n">
        <f aca="false">SUM(J60:J61)</f>
        <v>8771047</v>
      </c>
      <c r="K62" s="33"/>
    </row>
    <row r="63" customFormat="false" ht="15.75" hidden="false" customHeight="false" outlineLevel="0" collapsed="false">
      <c r="B63" s="31"/>
      <c r="C63" s="59"/>
      <c r="D63" s="59"/>
      <c r="E63" s="50"/>
      <c r="F63" s="10"/>
      <c r="G63" s="10"/>
      <c r="H63" s="10"/>
      <c r="I63" s="18"/>
      <c r="J63" s="18"/>
    </row>
    <row r="64" customFormat="false" ht="15" hidden="false" customHeight="false" outlineLevel="0" collapsed="false">
      <c r="B64" s="184" t="s">
        <v>272</v>
      </c>
      <c r="C64" s="59"/>
      <c r="D64" s="59"/>
      <c r="E64" s="59"/>
      <c r="F64" s="10"/>
      <c r="G64" s="10"/>
      <c r="H64" s="10" t="n">
        <f aca="false">+F64+G64</f>
        <v>0</v>
      </c>
      <c r="I64" s="18"/>
      <c r="J64" s="18"/>
    </row>
    <row r="65" customFormat="false" ht="15" hidden="true" customHeight="false" outlineLevel="1" collapsed="false">
      <c r="B65" s="31" t="s">
        <v>273</v>
      </c>
      <c r="C65" s="59"/>
      <c r="D65" s="59"/>
      <c r="E65" s="59"/>
      <c r="F65" s="25" t="n">
        <v>34797</v>
      </c>
      <c r="G65" s="25" t="n">
        <v>14436</v>
      </c>
      <c r="H65" s="25" t="n">
        <f aca="false">+F65+G65</f>
        <v>49233</v>
      </c>
      <c r="I65" s="28"/>
      <c r="J65" s="25" t="n">
        <f aca="false">+H65+I65</f>
        <v>49233</v>
      </c>
    </row>
    <row r="66" customFormat="false" ht="15" hidden="true" customHeight="false" outlineLevel="1" collapsed="false">
      <c r="B66" s="31" t="s">
        <v>274</v>
      </c>
      <c r="C66" s="59"/>
      <c r="D66" s="59"/>
      <c r="E66" s="59"/>
      <c r="F66" s="19" t="n">
        <f aca="false">+F65</f>
        <v>34797</v>
      </c>
      <c r="G66" s="19" t="n">
        <f aca="false">+G65</f>
        <v>14436</v>
      </c>
      <c r="H66" s="19" t="n">
        <f aca="false">+F66+G66</f>
        <v>49233</v>
      </c>
      <c r="I66" s="188"/>
      <c r="J66" s="19" t="n">
        <f aca="false">+H66+I66</f>
        <v>49233</v>
      </c>
    </row>
    <row r="67" customFormat="false" ht="15" hidden="true" customHeight="false" outlineLevel="0" collapsed="false">
      <c r="B67" s="31" t="s">
        <v>269</v>
      </c>
      <c r="C67" s="59"/>
      <c r="D67" s="59"/>
      <c r="E67" s="59"/>
      <c r="F67" s="19" t="n">
        <f aca="false">+F66</f>
        <v>34797</v>
      </c>
      <c r="G67" s="19" t="n">
        <f aca="false">+G66</f>
        <v>14436</v>
      </c>
      <c r="H67" s="19" t="n">
        <f aca="false">+F67+G67</f>
        <v>49233</v>
      </c>
      <c r="I67" s="188"/>
      <c r="J67" s="19" t="n">
        <f aca="false">+H67+I67</f>
        <v>49233</v>
      </c>
    </row>
    <row r="68" customFormat="false" ht="15" hidden="false" customHeight="false" outlineLevel="0" collapsed="false">
      <c r="B68" s="31" t="s">
        <v>250</v>
      </c>
      <c r="C68" s="59"/>
      <c r="D68" s="59"/>
      <c r="E68" s="59"/>
      <c r="F68" s="19" t="n">
        <f aca="false">+F67</f>
        <v>34797</v>
      </c>
      <c r="G68" s="19" t="n">
        <f aca="false">+G67</f>
        <v>14436</v>
      </c>
      <c r="H68" s="19" t="n">
        <f aca="false">+F68+G68</f>
        <v>49233</v>
      </c>
      <c r="I68" s="188"/>
      <c r="J68" s="19" t="n">
        <f aca="false">+H68+I68</f>
        <v>49233</v>
      </c>
    </row>
    <row r="69" customFormat="false" ht="15" hidden="false" customHeight="false" outlineLevel="0" collapsed="false">
      <c r="B69" s="31" t="s">
        <v>251</v>
      </c>
      <c r="C69" s="59"/>
      <c r="D69" s="59"/>
      <c r="E69" s="59"/>
      <c r="F69" s="10" t="n">
        <f aca="false">+F68</f>
        <v>34797</v>
      </c>
      <c r="G69" s="10" t="n">
        <f aca="false">+G68</f>
        <v>14436</v>
      </c>
      <c r="H69" s="10" t="n">
        <f aca="false">+F69+G69</f>
        <v>49233</v>
      </c>
      <c r="I69" s="18"/>
      <c r="J69" s="10" t="n">
        <f aca="false">+H69+I69</f>
        <v>49233</v>
      </c>
    </row>
    <row r="70" customFormat="false" ht="15.75" hidden="false" customHeight="false" outlineLevel="0" collapsed="false">
      <c r="B70" s="31" t="s">
        <v>254</v>
      </c>
      <c r="C70" s="59"/>
      <c r="D70" s="59"/>
      <c r="E70" s="59"/>
      <c r="F70" s="183" t="n">
        <f aca="false">+F69</f>
        <v>34797</v>
      </c>
      <c r="G70" s="183" t="n">
        <f aca="false">+G69</f>
        <v>14436</v>
      </c>
      <c r="H70" s="183" t="n">
        <f aca="false">+F70+G70</f>
        <v>49233</v>
      </c>
      <c r="I70" s="189"/>
      <c r="J70" s="183" t="n">
        <f aca="false">+H70+I70</f>
        <v>49233</v>
      </c>
    </row>
    <row r="71" customFormat="false" ht="13.8" hidden="false" customHeight="false" outlineLevel="0" collapsed="false">
      <c r="B71" s="31" t="s">
        <v>256</v>
      </c>
      <c r="C71" s="59"/>
      <c r="D71" s="59"/>
      <c r="E71" s="59"/>
      <c r="F71" s="183" t="n">
        <f aca="false">SUM(F70:F70)</f>
        <v>34797</v>
      </c>
      <c r="G71" s="183" t="n">
        <f aca="false">SUM(G70:G70)</f>
        <v>14436</v>
      </c>
      <c r="H71" s="183" t="n">
        <f aca="false">SUM(H70:H70)</f>
        <v>49233</v>
      </c>
      <c r="I71" s="183" t="n">
        <f aca="false">SUM(I70:I70)</f>
        <v>0</v>
      </c>
      <c r="J71" s="183" t="n">
        <f aca="false">SUM(J70:J70)</f>
        <v>49233</v>
      </c>
      <c r="K71" s="33"/>
    </row>
    <row r="72" customFormat="false" ht="15.75" hidden="false" customHeight="false" outlineLevel="0" collapsed="false">
      <c r="B72" s="190" t="s">
        <v>275</v>
      </c>
      <c r="C72" s="191"/>
      <c r="D72" s="191"/>
      <c r="E72" s="191"/>
      <c r="F72" s="192" t="n">
        <f aca="false">+F60+F70</f>
        <v>6170159</v>
      </c>
      <c r="G72" s="192" t="n">
        <f aca="false">+G60+G70</f>
        <v>1940857</v>
      </c>
      <c r="H72" s="192" t="n">
        <f aca="false">+H60+H70</f>
        <v>8111016</v>
      </c>
      <c r="I72" s="192" t="n">
        <f aca="false">+I60+I70</f>
        <v>0</v>
      </c>
      <c r="J72" s="192" t="n">
        <f aca="false">+J60+J70</f>
        <v>8111016</v>
      </c>
    </row>
    <row r="73" customFormat="false" ht="15" hidden="false" customHeight="false" outlineLevel="0" collapsed="false">
      <c r="B73" s="31"/>
      <c r="C73" s="59"/>
      <c r="D73" s="59"/>
      <c r="E73" s="59"/>
      <c r="F73" s="10"/>
      <c r="G73" s="10"/>
      <c r="H73" s="10" t="n">
        <f aca="false">+F73+G73</f>
        <v>0</v>
      </c>
      <c r="I73" s="18"/>
      <c r="J73" s="18"/>
    </row>
    <row r="74" customFormat="false" ht="15" hidden="false" customHeight="false" outlineLevel="0" collapsed="false">
      <c r="B74" s="184" t="s">
        <v>276</v>
      </c>
      <c r="C74" s="59"/>
      <c r="D74" s="59"/>
      <c r="E74" s="59"/>
      <c r="F74" s="10"/>
      <c r="G74" s="10"/>
      <c r="H74" s="10" t="n">
        <f aca="false">+F74+G74</f>
        <v>0</v>
      </c>
      <c r="I74" s="18"/>
      <c r="J74" s="18"/>
    </row>
    <row r="75" customFormat="false" ht="15" hidden="true" customHeight="false" outlineLevel="1" collapsed="false">
      <c r="B75" s="31" t="s">
        <v>273</v>
      </c>
      <c r="C75" s="59"/>
      <c r="D75" s="59"/>
      <c r="E75" s="59"/>
      <c r="F75" s="25" t="n">
        <v>227072</v>
      </c>
      <c r="G75" s="25" t="n">
        <v>85174</v>
      </c>
      <c r="H75" s="25" t="n">
        <f aca="false">+F75+G75</f>
        <v>312246</v>
      </c>
      <c r="I75" s="28"/>
      <c r="J75" s="25" t="n">
        <f aca="false">+H75+I75</f>
        <v>312246</v>
      </c>
    </row>
    <row r="76" customFormat="false" ht="15" hidden="true" customHeight="false" outlineLevel="1" collapsed="false">
      <c r="B76" s="31" t="s">
        <v>274</v>
      </c>
      <c r="C76" s="59"/>
      <c r="D76" s="59"/>
      <c r="E76" s="59"/>
      <c r="F76" s="19" t="n">
        <f aca="false">+F75</f>
        <v>227072</v>
      </c>
      <c r="G76" s="19" t="n">
        <f aca="false">+G75</f>
        <v>85174</v>
      </c>
      <c r="H76" s="19" t="n">
        <f aca="false">+F76+G76</f>
        <v>312246</v>
      </c>
      <c r="I76" s="188"/>
      <c r="J76" s="19" t="n">
        <f aca="false">+H76+I76</f>
        <v>312246</v>
      </c>
    </row>
    <row r="77" customFormat="false" ht="15" hidden="true" customHeight="false" outlineLevel="0" collapsed="false">
      <c r="B77" s="31" t="s">
        <v>269</v>
      </c>
      <c r="C77" s="59"/>
      <c r="D77" s="59"/>
      <c r="E77" s="59"/>
      <c r="F77" s="19" t="n">
        <f aca="false">+F76</f>
        <v>227072</v>
      </c>
      <c r="G77" s="19" t="n">
        <f aca="false">+G76</f>
        <v>85174</v>
      </c>
      <c r="H77" s="19" t="n">
        <f aca="false">+F77+G77</f>
        <v>312246</v>
      </c>
      <c r="I77" s="188"/>
      <c r="J77" s="19" t="n">
        <f aca="false">+H77+I77</f>
        <v>312246</v>
      </c>
    </row>
    <row r="78" customFormat="false" ht="15" hidden="false" customHeight="false" outlineLevel="0" collapsed="false">
      <c r="B78" s="31" t="s">
        <v>270</v>
      </c>
      <c r="C78" s="59"/>
      <c r="D78" s="59"/>
      <c r="E78" s="59"/>
      <c r="F78" s="19" t="n">
        <f aca="false">+F77</f>
        <v>227072</v>
      </c>
      <c r="G78" s="19" t="n">
        <f aca="false">+G77</f>
        <v>85174</v>
      </c>
      <c r="H78" s="19" t="n">
        <f aca="false">+F78+G78</f>
        <v>312246</v>
      </c>
      <c r="I78" s="188"/>
      <c r="J78" s="19" t="n">
        <f aca="false">+H78+I78</f>
        <v>312246</v>
      </c>
    </row>
    <row r="79" customFormat="false" ht="15" hidden="false" customHeight="false" outlineLevel="0" collapsed="false">
      <c r="B79" s="31" t="s">
        <v>277</v>
      </c>
      <c r="C79" s="59"/>
      <c r="D79" s="59"/>
      <c r="E79" s="59"/>
      <c r="F79" s="6" t="n">
        <f aca="false">+F78</f>
        <v>227072</v>
      </c>
      <c r="G79" s="6" t="n">
        <f aca="false">+G78</f>
        <v>85174</v>
      </c>
      <c r="H79" s="6" t="n">
        <f aca="false">+F79+G79</f>
        <v>312246</v>
      </c>
      <c r="I79" s="6"/>
      <c r="J79" s="6" t="n">
        <f aca="false">+H79+I79</f>
        <v>312246</v>
      </c>
    </row>
    <row r="80" customFormat="false" ht="15.75" hidden="false" customHeight="false" outlineLevel="0" collapsed="false">
      <c r="B80" s="31" t="s">
        <v>278</v>
      </c>
      <c r="C80" s="59"/>
      <c r="D80" s="59"/>
      <c r="E80" s="59"/>
      <c r="F80" s="183" t="n">
        <f aca="false">+F79</f>
        <v>227072</v>
      </c>
      <c r="G80" s="183" t="n">
        <f aca="false">+G79</f>
        <v>85174</v>
      </c>
      <c r="H80" s="183" t="n">
        <f aca="false">+F80+G80</f>
        <v>312246</v>
      </c>
      <c r="I80" s="183"/>
      <c r="J80" s="183" t="n">
        <f aca="false">+H80+I80</f>
        <v>312246</v>
      </c>
    </row>
    <row r="81" customFormat="false" ht="13.8" hidden="false" customHeight="false" outlineLevel="0" collapsed="false">
      <c r="B81" s="31" t="s">
        <v>256</v>
      </c>
      <c r="C81" s="59"/>
      <c r="D81" s="59"/>
      <c r="E81" s="59"/>
      <c r="F81" s="183" t="n">
        <f aca="false">SUM(F80:F80)</f>
        <v>227072</v>
      </c>
      <c r="G81" s="183" t="n">
        <f aca="false">SUM(G80:G80)</f>
        <v>85174</v>
      </c>
      <c r="H81" s="183" t="n">
        <f aca="false">SUM(H80:H80)</f>
        <v>312246</v>
      </c>
      <c r="I81" s="183" t="n">
        <f aca="false">SUM(I80:I80)</f>
        <v>0</v>
      </c>
      <c r="J81" s="183" t="n">
        <f aca="false">SUM(J80:J80)</f>
        <v>312246</v>
      </c>
      <c r="K81" s="33"/>
    </row>
    <row r="82" customFormat="false" ht="15.75" hidden="false" customHeight="false" outlineLevel="0" collapsed="false">
      <c r="B82" s="31"/>
      <c r="C82" s="59"/>
      <c r="D82" s="59"/>
      <c r="E82" s="59"/>
      <c r="F82" s="10"/>
      <c r="G82" s="10"/>
      <c r="H82" s="10"/>
      <c r="I82" s="18"/>
      <c r="J82" s="18"/>
    </row>
    <row r="83" customFormat="false" ht="15" hidden="false" customHeight="false" outlineLevel="0" collapsed="false">
      <c r="B83" s="184" t="s">
        <v>279</v>
      </c>
      <c r="C83" s="59"/>
      <c r="D83" s="59"/>
      <c r="E83" s="59"/>
      <c r="F83" s="10"/>
      <c r="G83" s="10"/>
      <c r="H83" s="10" t="n">
        <f aca="false">+F83+G83</f>
        <v>0</v>
      </c>
      <c r="I83" s="18"/>
      <c r="J83" s="18"/>
    </row>
    <row r="84" customFormat="false" ht="15" hidden="true" customHeight="false" outlineLevel="1" collapsed="false">
      <c r="B84" s="31" t="s">
        <v>240</v>
      </c>
      <c r="C84" s="59"/>
      <c r="D84" s="59"/>
      <c r="E84" s="59"/>
      <c r="F84" s="25" t="n">
        <v>-3202431</v>
      </c>
      <c r="G84" s="25" t="n">
        <v>-24915</v>
      </c>
      <c r="H84" s="25" t="n">
        <f aca="false">+F84+G84</f>
        <v>-3227346</v>
      </c>
      <c r="I84" s="28"/>
      <c r="J84" s="25" t="n">
        <f aca="false">+H84+I84</f>
        <v>-3227346</v>
      </c>
    </row>
    <row r="85" customFormat="false" ht="15" hidden="true" customHeight="false" outlineLevel="1" collapsed="false">
      <c r="B85" s="31" t="s">
        <v>280</v>
      </c>
      <c r="C85" s="59"/>
      <c r="D85" s="59"/>
      <c r="E85" s="59"/>
      <c r="F85" s="19" t="n">
        <f aca="false">+F84</f>
        <v>-3202431</v>
      </c>
      <c r="G85" s="19" t="n">
        <f aca="false">+G84</f>
        <v>-24915</v>
      </c>
      <c r="H85" s="19" t="n">
        <f aca="false">+F85+G85</f>
        <v>-3227346</v>
      </c>
      <c r="I85" s="188"/>
      <c r="J85" s="19" t="n">
        <f aca="false">+H85+I85</f>
        <v>-3227346</v>
      </c>
    </row>
    <row r="86" customFormat="false" ht="15" hidden="true" customHeight="false" outlineLevel="0" collapsed="false">
      <c r="B86" s="31" t="s">
        <v>269</v>
      </c>
      <c r="C86" s="59"/>
      <c r="D86" s="59"/>
      <c r="E86" s="59"/>
      <c r="F86" s="19" t="n">
        <f aca="false">+F85</f>
        <v>-3202431</v>
      </c>
      <c r="G86" s="19" t="n">
        <f aca="false">+G85</f>
        <v>-24915</v>
      </c>
      <c r="H86" s="19" t="n">
        <f aca="false">+F86+G86</f>
        <v>-3227346</v>
      </c>
      <c r="I86" s="188"/>
      <c r="J86" s="19" t="n">
        <f aca="false">+H86+I86</f>
        <v>-3227346</v>
      </c>
    </row>
    <row r="87" customFormat="false" ht="15" hidden="false" customHeight="false" outlineLevel="0" collapsed="false">
      <c r="B87" s="31" t="s">
        <v>270</v>
      </c>
      <c r="C87" s="59"/>
      <c r="D87" s="59"/>
      <c r="E87" s="59"/>
      <c r="F87" s="6" t="n">
        <f aca="false">+F86</f>
        <v>-3202431</v>
      </c>
      <c r="G87" s="6" t="n">
        <f aca="false">+G86</f>
        <v>-24915</v>
      </c>
      <c r="H87" s="19" t="n">
        <f aca="false">+F87+G87</f>
        <v>-3227346</v>
      </c>
      <c r="I87" s="17"/>
      <c r="J87" s="19" t="n">
        <f aca="false">+H87+I87</f>
        <v>-3227346</v>
      </c>
    </row>
    <row r="88" customFormat="false" ht="15" hidden="false" customHeight="false" outlineLevel="0" collapsed="false">
      <c r="B88" s="31" t="s">
        <v>277</v>
      </c>
      <c r="C88" s="59"/>
      <c r="D88" s="59"/>
      <c r="E88" s="59"/>
      <c r="F88" s="19" t="n">
        <f aca="false">+F87</f>
        <v>-3202431</v>
      </c>
      <c r="G88" s="19" t="n">
        <f aca="false">+G87</f>
        <v>-24915</v>
      </c>
      <c r="H88" s="19" t="n">
        <f aca="false">+F88+G88</f>
        <v>-3227346</v>
      </c>
      <c r="I88" s="188"/>
      <c r="J88" s="19" t="n">
        <f aca="false">+H88+I88</f>
        <v>-3227346</v>
      </c>
    </row>
    <row r="89" customFormat="false" ht="15.75" hidden="false" customHeight="false" outlineLevel="0" collapsed="false">
      <c r="B89" s="31" t="s">
        <v>278</v>
      </c>
      <c r="C89" s="59"/>
      <c r="D89" s="59"/>
      <c r="E89" s="59"/>
      <c r="F89" s="183" t="n">
        <f aca="false">+F88</f>
        <v>-3202431</v>
      </c>
      <c r="G89" s="183" t="n">
        <f aca="false">+G88</f>
        <v>-24915</v>
      </c>
      <c r="H89" s="183" t="n">
        <f aca="false">+H88</f>
        <v>-3227346</v>
      </c>
      <c r="I89" s="183" t="n">
        <f aca="false">+I88</f>
        <v>0</v>
      </c>
      <c r="J89" s="183" t="n">
        <f aca="false">+J88</f>
        <v>-3227346</v>
      </c>
    </row>
    <row r="90" customFormat="false" ht="13.8" hidden="false" customHeight="false" outlineLevel="0" collapsed="false">
      <c r="B90" s="31" t="s">
        <v>256</v>
      </c>
      <c r="C90" s="59"/>
      <c r="D90" s="59"/>
      <c r="E90" s="59"/>
      <c r="F90" s="183" t="n">
        <f aca="false">SUM(F89:F89)</f>
        <v>-3202431</v>
      </c>
      <c r="G90" s="183" t="n">
        <f aca="false">SUM(G89:G89)</f>
        <v>-24915</v>
      </c>
      <c r="H90" s="183" t="n">
        <f aca="false">SUM(H89:H89)</f>
        <v>-3227346</v>
      </c>
      <c r="I90" s="183" t="n">
        <f aca="false">SUM(I89:I89)</f>
        <v>0</v>
      </c>
      <c r="J90" s="183" t="n">
        <f aca="false">SUM(J89:J89)</f>
        <v>-3227346</v>
      </c>
      <c r="K90" s="33"/>
    </row>
    <row r="91" customFormat="false" ht="15.75" hidden="false" customHeight="false" outlineLevel="0" collapsed="false">
      <c r="B91" s="31"/>
      <c r="C91" s="59"/>
      <c r="D91" s="59"/>
      <c r="E91" s="59"/>
      <c r="F91" s="10"/>
      <c r="G91" s="10"/>
      <c r="H91" s="10" t="n">
        <f aca="false">+F91+G91</f>
        <v>0</v>
      </c>
      <c r="I91" s="18"/>
      <c r="J91" s="18"/>
    </row>
    <row r="92" customFormat="false" ht="15" hidden="false" customHeight="false" outlineLevel="0" collapsed="false">
      <c r="B92" s="184" t="s">
        <v>281</v>
      </c>
      <c r="C92" s="59"/>
      <c r="D92" s="59"/>
      <c r="E92" s="59"/>
      <c r="F92" s="10"/>
      <c r="G92" s="10"/>
      <c r="H92" s="10" t="n">
        <f aca="false">+F92+G92</f>
        <v>0</v>
      </c>
      <c r="I92" s="18"/>
      <c r="J92" s="18"/>
    </row>
    <row r="93" customFormat="false" ht="15" hidden="true" customHeight="false" outlineLevel="1" collapsed="false">
      <c r="B93" s="31" t="s">
        <v>240</v>
      </c>
      <c r="C93" s="59"/>
      <c r="D93" s="59"/>
      <c r="E93" s="59"/>
      <c r="F93" s="10"/>
      <c r="G93" s="10"/>
      <c r="H93" s="10"/>
      <c r="I93" s="18"/>
      <c r="J93" s="18"/>
    </row>
    <row r="94" customFormat="false" ht="15" hidden="true" customHeight="false" outlineLevel="1" collapsed="false">
      <c r="B94" s="31" t="s">
        <v>282</v>
      </c>
      <c r="C94" s="59"/>
      <c r="D94" s="59"/>
      <c r="E94" s="59"/>
      <c r="F94" s="10"/>
      <c r="G94" s="10" t="n">
        <v>-164317</v>
      </c>
      <c r="H94" s="10" t="n">
        <f aca="false">F94+G94</f>
        <v>-164317</v>
      </c>
      <c r="I94" s="18"/>
      <c r="J94" s="18"/>
    </row>
    <row r="95" customFormat="false" ht="15" hidden="true" customHeight="false" outlineLevel="1" collapsed="false">
      <c r="B95" s="193" t="s">
        <v>283</v>
      </c>
      <c r="C95" s="59"/>
      <c r="D95" s="59"/>
      <c r="E95" s="59"/>
      <c r="F95" s="10" t="n">
        <v>0</v>
      </c>
      <c r="G95" s="10" t="n">
        <v>-164317</v>
      </c>
      <c r="H95" s="10" t="n">
        <f aca="false">F95+G95</f>
        <v>-164317</v>
      </c>
      <c r="I95" s="18"/>
      <c r="J95" s="10" t="n">
        <f aca="false">+H95+I95</f>
        <v>-164317</v>
      </c>
    </row>
    <row r="96" customFormat="false" ht="15" hidden="true" customHeight="false" outlineLevel="1" collapsed="false">
      <c r="B96" s="31" t="s">
        <v>284</v>
      </c>
      <c r="C96" s="59"/>
      <c r="D96" s="59"/>
      <c r="E96" s="59"/>
      <c r="F96" s="25" t="n">
        <v>0</v>
      </c>
      <c r="G96" s="25" t="n">
        <v>44500</v>
      </c>
      <c r="H96" s="25" t="n">
        <f aca="false">+F96+G96</f>
        <v>44500</v>
      </c>
      <c r="I96" s="28"/>
      <c r="J96" s="25" t="n">
        <f aca="false">+H96+I96</f>
        <v>44500</v>
      </c>
    </row>
    <row r="97" customFormat="false" ht="15" hidden="true" customHeight="false" outlineLevel="1" collapsed="false">
      <c r="B97" s="31" t="s">
        <v>273</v>
      </c>
      <c r="C97" s="59"/>
      <c r="D97" s="59"/>
      <c r="E97" s="59"/>
      <c r="F97" s="6" t="n">
        <v>0</v>
      </c>
      <c r="G97" s="6" t="n">
        <f aca="false">G95+G96</f>
        <v>-119817</v>
      </c>
      <c r="H97" s="6" t="n">
        <f aca="false">+F97+G97</f>
        <v>-119817</v>
      </c>
      <c r="I97" s="17"/>
      <c r="J97" s="6" t="n">
        <f aca="false">+H97+I97</f>
        <v>-119817</v>
      </c>
    </row>
    <row r="98" customFormat="false" ht="15" hidden="true" customHeight="false" outlineLevel="1" collapsed="false">
      <c r="B98" s="31" t="s">
        <v>284</v>
      </c>
      <c r="C98" s="59"/>
      <c r="D98" s="59"/>
      <c r="E98" s="59"/>
      <c r="F98" s="25" t="n">
        <v>0</v>
      </c>
      <c r="G98" s="25" t="n">
        <v>16673</v>
      </c>
      <c r="H98" s="25" t="n">
        <v>16673</v>
      </c>
      <c r="I98" s="28"/>
      <c r="J98" s="25" t="n">
        <f aca="false">+H98+I98</f>
        <v>16673</v>
      </c>
    </row>
    <row r="99" customFormat="false" ht="15" hidden="true" customHeight="false" outlineLevel="0" collapsed="false">
      <c r="B99" s="31" t="s">
        <v>269</v>
      </c>
      <c r="C99" s="59"/>
      <c r="D99" s="59"/>
      <c r="E99" s="59"/>
      <c r="F99" s="194" t="n">
        <v>-495802</v>
      </c>
      <c r="G99" s="6" t="n">
        <f aca="false">G97+G98</f>
        <v>-103144</v>
      </c>
      <c r="H99" s="6" t="n">
        <f aca="false">+F99+G99</f>
        <v>-598946</v>
      </c>
      <c r="I99" s="17"/>
      <c r="J99" s="6" t="n">
        <f aca="false">+H99+I99</f>
        <v>-598946</v>
      </c>
    </row>
    <row r="100" customFormat="false" ht="15" hidden="true" customHeight="false" outlineLevel="0" collapsed="false">
      <c r="B100" s="31" t="s">
        <v>284</v>
      </c>
      <c r="C100" s="59"/>
      <c r="D100" s="59"/>
      <c r="E100" s="59"/>
      <c r="F100" s="195" t="n">
        <v>1849659</v>
      </c>
      <c r="G100" s="25" t="n">
        <v>-26254</v>
      </c>
      <c r="H100" s="25" t="n">
        <f aca="false">+F100+G100</f>
        <v>1823405</v>
      </c>
      <c r="I100" s="28"/>
      <c r="J100" s="25" t="n">
        <f aca="false">+H100+I100</f>
        <v>1823405</v>
      </c>
    </row>
    <row r="101" customFormat="false" ht="15" hidden="false" customHeight="false" outlineLevel="0" collapsed="false">
      <c r="B101" s="31" t="s">
        <v>270</v>
      </c>
      <c r="C101" s="59"/>
      <c r="D101" s="59"/>
      <c r="E101" s="59"/>
      <c r="F101" s="194" t="n">
        <f aca="false">+F99+F100</f>
        <v>1353857</v>
      </c>
      <c r="G101" s="6" t="n">
        <f aca="false">+G99+G100</f>
        <v>-129398</v>
      </c>
      <c r="H101" s="6" t="n">
        <f aca="false">+F101+G101</f>
        <v>1224459</v>
      </c>
      <c r="I101" s="17"/>
      <c r="J101" s="6" t="n">
        <f aca="false">+H101+I101</f>
        <v>1224459</v>
      </c>
    </row>
    <row r="102" customFormat="false" ht="15" hidden="false" customHeight="false" outlineLevel="0" collapsed="false">
      <c r="B102" s="31" t="s">
        <v>284</v>
      </c>
      <c r="C102" s="59"/>
      <c r="D102" s="59"/>
      <c r="E102" s="59"/>
      <c r="F102" s="195" t="n">
        <v>70086</v>
      </c>
      <c r="G102" s="25" t="n">
        <v>-16606</v>
      </c>
      <c r="H102" s="25" t="n">
        <f aca="false">+F102+G102</f>
        <v>53480</v>
      </c>
      <c r="I102" s="28"/>
      <c r="J102" s="25" t="n">
        <f aca="false">+H102+I102</f>
        <v>53480</v>
      </c>
    </row>
    <row r="103" customFormat="false" ht="15" hidden="false" customHeight="false" outlineLevel="0" collapsed="false">
      <c r="B103" s="31" t="s">
        <v>277</v>
      </c>
      <c r="C103" s="59"/>
      <c r="D103" s="59"/>
      <c r="E103" s="59"/>
      <c r="F103" s="194" t="n">
        <f aca="false">+F101+F102</f>
        <v>1423943</v>
      </c>
      <c r="G103" s="6" t="n">
        <f aca="false">+G101+G102</f>
        <v>-146004</v>
      </c>
      <c r="H103" s="6" t="n">
        <f aca="false">+F103+G103</f>
        <v>1277939</v>
      </c>
      <c r="I103" s="17"/>
      <c r="J103" s="6" t="n">
        <f aca="false">+H103+I103</f>
        <v>1277939</v>
      </c>
    </row>
    <row r="104" customFormat="false" ht="13.8" hidden="false" customHeight="false" outlineLevel="0" collapsed="false">
      <c r="B104" s="31" t="s">
        <v>284</v>
      </c>
      <c r="C104" s="59"/>
      <c r="D104" s="59"/>
      <c r="E104" s="59"/>
      <c r="F104" s="196" t="n">
        <v>-1099700</v>
      </c>
      <c r="G104" s="10" t="n">
        <v>-15737</v>
      </c>
      <c r="H104" s="10" t="n">
        <f aca="false">+F104+G104</f>
        <v>-1115437</v>
      </c>
      <c r="I104" s="18"/>
      <c r="J104" s="10" t="n">
        <f aca="false">+H104+I104</f>
        <v>-1115437</v>
      </c>
    </row>
    <row r="105" customFormat="false" ht="15.75" hidden="false" customHeight="false" outlineLevel="0" collapsed="false">
      <c r="B105" s="31" t="s">
        <v>278</v>
      </c>
      <c r="C105" s="59"/>
      <c r="D105" s="59"/>
      <c r="E105" s="59"/>
      <c r="F105" s="183" t="n">
        <f aca="false">+F103+F104</f>
        <v>324243</v>
      </c>
      <c r="G105" s="183" t="n">
        <f aca="false">+G103+G104</f>
        <v>-161741</v>
      </c>
      <c r="H105" s="183" t="n">
        <f aca="false">+H103+H104</f>
        <v>162502</v>
      </c>
      <c r="I105" s="183" t="n">
        <f aca="false">+I103+I104</f>
        <v>0</v>
      </c>
      <c r="J105" s="183" t="n">
        <f aca="false">+J103+J104</f>
        <v>162502</v>
      </c>
    </row>
    <row r="106" customFormat="false" ht="13.8" hidden="false" customHeight="false" outlineLevel="0" collapsed="false">
      <c r="B106" s="31" t="s">
        <v>284</v>
      </c>
      <c r="C106" s="59"/>
      <c r="D106" s="59"/>
      <c r="E106" s="59"/>
      <c r="F106" s="182" t="n">
        <v>495802</v>
      </c>
      <c r="G106" s="197" t="n">
        <v>-139500</v>
      </c>
      <c r="H106" s="10" t="n">
        <f aca="false">+F106+G106</f>
        <v>356302</v>
      </c>
      <c r="I106" s="182"/>
      <c r="J106" s="10" t="n">
        <f aca="false">+H106+I106</f>
        <v>356302</v>
      </c>
      <c r="K106" s="33"/>
    </row>
    <row r="107" customFormat="false" ht="13.8" hidden="false" customHeight="false" outlineLevel="0" collapsed="false">
      <c r="B107" s="31" t="s">
        <v>256</v>
      </c>
      <c r="C107" s="59"/>
      <c r="D107" s="59"/>
      <c r="E107" s="59"/>
      <c r="F107" s="183" t="n">
        <f aca="false">SUM(F105:F106)</f>
        <v>820045</v>
      </c>
      <c r="G107" s="183" t="n">
        <f aca="false">SUM(G105:G106)</f>
        <v>-301241</v>
      </c>
      <c r="H107" s="183" t="n">
        <f aca="false">SUM(H105:H106)</f>
        <v>518804</v>
      </c>
      <c r="I107" s="183" t="n">
        <f aca="false">SUM(I105:I106)</f>
        <v>0</v>
      </c>
      <c r="J107" s="183" t="n">
        <f aca="false">SUM(J105:J106)</f>
        <v>518804</v>
      </c>
      <c r="K107" s="33"/>
    </row>
    <row r="108" customFormat="false" ht="15.75" hidden="false" customHeight="false" outlineLevel="0" collapsed="false">
      <c r="B108" s="31"/>
      <c r="C108" s="59"/>
      <c r="D108" s="59"/>
      <c r="E108" s="59"/>
      <c r="F108" s="10"/>
      <c r="G108" s="10"/>
      <c r="H108" s="10"/>
      <c r="I108" s="18"/>
      <c r="J108" s="18"/>
    </row>
    <row r="109" customFormat="false" ht="15" hidden="false" customHeight="false" outlineLevel="0" collapsed="false">
      <c r="B109" s="184" t="s">
        <v>285</v>
      </c>
      <c r="C109" s="59"/>
      <c r="D109" s="59"/>
      <c r="E109" s="59"/>
      <c r="F109" s="10"/>
      <c r="G109" s="10"/>
      <c r="H109" s="10" t="n">
        <f aca="false">+F109+G109</f>
        <v>0</v>
      </c>
      <c r="I109" s="18"/>
      <c r="J109" s="18"/>
    </row>
    <row r="110" customFormat="false" ht="15" hidden="true" customHeight="false" outlineLevel="1" collapsed="false">
      <c r="B110" s="31" t="s">
        <v>240</v>
      </c>
      <c r="C110" s="59"/>
      <c r="D110" s="59"/>
      <c r="E110" s="59"/>
      <c r="F110" s="10" t="n">
        <v>21286279</v>
      </c>
      <c r="G110" s="10" t="n">
        <v>801209</v>
      </c>
      <c r="H110" s="10" t="n">
        <f aca="false">+F110+G110</f>
        <v>22087488</v>
      </c>
      <c r="I110" s="10"/>
      <c r="J110" s="10" t="n">
        <f aca="false">+H110+I110</f>
        <v>22087488</v>
      </c>
    </row>
    <row r="111" customFormat="false" ht="15" hidden="true" customHeight="false" outlineLevel="1" collapsed="false">
      <c r="B111" s="31" t="s">
        <v>286</v>
      </c>
      <c r="C111" s="59"/>
      <c r="D111" s="59"/>
      <c r="E111" s="59"/>
      <c r="F111" s="10" t="n">
        <v>-10113380</v>
      </c>
      <c r="G111" s="10"/>
      <c r="H111" s="10" t="n">
        <f aca="false">+F111+G111</f>
        <v>-10113380</v>
      </c>
      <c r="I111" s="10"/>
      <c r="J111" s="10" t="n">
        <f aca="false">+H111+I111</f>
        <v>-10113380</v>
      </c>
    </row>
    <row r="112" customFormat="false" ht="15" hidden="true" customHeight="false" outlineLevel="1" collapsed="false">
      <c r="B112" s="31" t="s">
        <v>287</v>
      </c>
      <c r="C112" s="59"/>
      <c r="D112" s="59"/>
      <c r="E112" s="59"/>
      <c r="F112" s="6" t="n">
        <f aca="false">+F110+F111</f>
        <v>11172899</v>
      </c>
      <c r="G112" s="6" t="n">
        <f aca="false">+G110+G111</f>
        <v>801209</v>
      </c>
      <c r="H112" s="6" t="n">
        <f aca="false">+H110+H111</f>
        <v>11974108</v>
      </c>
      <c r="I112" s="6" t="n">
        <f aca="false">+I110+I111</f>
        <v>0</v>
      </c>
      <c r="J112" s="6" t="n">
        <f aca="false">+J110+J111</f>
        <v>11974108</v>
      </c>
    </row>
    <row r="113" customFormat="false" ht="15" hidden="true" customHeight="false" outlineLevel="1" collapsed="false">
      <c r="B113" s="31" t="s">
        <v>288</v>
      </c>
      <c r="C113" s="59"/>
      <c r="D113" s="59"/>
      <c r="E113" s="59"/>
      <c r="F113" s="10" t="n">
        <v>-359244</v>
      </c>
      <c r="G113" s="10"/>
      <c r="H113" s="10" t="n">
        <f aca="false">+F113+G113</f>
        <v>-359244</v>
      </c>
      <c r="I113" s="18"/>
      <c r="J113" s="10" t="n">
        <f aca="false">+H113+I113</f>
        <v>-359244</v>
      </c>
    </row>
    <row r="114" customFormat="false" ht="15" hidden="true" customHeight="false" outlineLevel="1" collapsed="false">
      <c r="B114" s="31" t="s">
        <v>106</v>
      </c>
      <c r="C114" s="59"/>
      <c r="D114" s="59"/>
      <c r="E114" s="59"/>
      <c r="F114" s="10" t="n">
        <v>24778671</v>
      </c>
      <c r="G114" s="10"/>
      <c r="H114" s="10" t="n">
        <f aca="false">+F114+G114</f>
        <v>24778671</v>
      </c>
      <c r="I114" s="10"/>
      <c r="J114" s="10" t="n">
        <f aca="false">+H114+I114</f>
        <v>24778671</v>
      </c>
    </row>
    <row r="115" customFormat="false" ht="15" hidden="true" customHeight="false" outlineLevel="1" collapsed="false">
      <c r="B115" s="31" t="s">
        <v>240</v>
      </c>
      <c r="C115" s="59"/>
      <c r="D115" s="59"/>
      <c r="E115" s="59"/>
      <c r="F115" s="10" t="n">
        <f aca="false">SUM(F112:F114)</f>
        <v>35592326</v>
      </c>
      <c r="G115" s="10" t="n">
        <f aca="false">SUM(G112:G114)</f>
        <v>801209</v>
      </c>
      <c r="H115" s="10" t="n">
        <f aca="false">SUM(H112:H114)</f>
        <v>36393535</v>
      </c>
      <c r="I115" s="10" t="e">
        <f aca="false">-AD!Q69</f>
        <v>#REF!</v>
      </c>
      <c r="J115" s="10" t="e">
        <f aca="false">+H115+I115</f>
        <v>#REF!</v>
      </c>
    </row>
    <row r="116" customFormat="false" ht="15" hidden="true" customHeight="false" outlineLevel="1" collapsed="false">
      <c r="B116" s="31" t="s">
        <v>289</v>
      </c>
      <c r="C116" s="59"/>
      <c r="D116" s="59"/>
      <c r="E116" s="59"/>
      <c r="F116" s="10" t="n">
        <v>0</v>
      </c>
      <c r="G116" s="10" t="n">
        <v>10139</v>
      </c>
      <c r="H116" s="10" t="n">
        <f aca="false">+F116+G116</f>
        <v>10139</v>
      </c>
      <c r="I116" s="18"/>
      <c r="J116" s="10" t="n">
        <f aca="false">+H116+I116</f>
        <v>10139</v>
      </c>
    </row>
    <row r="117" customFormat="false" ht="15" hidden="true" customHeight="false" outlineLevel="1" collapsed="false">
      <c r="B117" s="31" t="s">
        <v>290</v>
      </c>
      <c r="C117" s="59"/>
      <c r="D117" s="59"/>
      <c r="E117" s="59"/>
      <c r="F117" s="25" t="n">
        <v>-5585599</v>
      </c>
      <c r="G117" s="25" t="n">
        <v>0</v>
      </c>
      <c r="H117" s="25" t="n">
        <f aca="false">+F117+G117</f>
        <v>-5585599</v>
      </c>
      <c r="I117" s="25"/>
      <c r="J117" s="25" t="n">
        <f aca="false">+H117+I117</f>
        <v>-5585599</v>
      </c>
      <c r="K117" s="33"/>
    </row>
    <row r="118" customFormat="false" ht="15" hidden="true" customHeight="false" outlineLevel="1" collapsed="false">
      <c r="B118" s="31" t="s">
        <v>291</v>
      </c>
      <c r="C118" s="59"/>
      <c r="D118" s="59"/>
      <c r="E118" s="59"/>
      <c r="F118" s="10" t="n">
        <f aca="false">+F115+F117+F116</f>
        <v>30006727</v>
      </c>
      <c r="G118" s="10" t="n">
        <f aca="false">+G115+G117+G116</f>
        <v>811348</v>
      </c>
      <c r="H118" s="10" t="n">
        <f aca="false">+H115+H117+H116</f>
        <v>30818075</v>
      </c>
      <c r="I118" s="10" t="e">
        <f aca="false">+I115+I117+I116</f>
        <v>#REF!</v>
      </c>
      <c r="J118" s="10" t="e">
        <f aca="false">+J115+J117+J116</f>
        <v>#REF!</v>
      </c>
      <c r="K118" s="8"/>
    </row>
    <row r="119" customFormat="false" ht="15" hidden="true" customHeight="false" outlineLevel="1" collapsed="false">
      <c r="B119" s="31" t="s">
        <v>292</v>
      </c>
      <c r="C119" s="59"/>
      <c r="D119" s="59"/>
      <c r="E119" s="59"/>
      <c r="F119" s="10" t="n">
        <v>0</v>
      </c>
      <c r="G119" s="10" t="n">
        <v>-1228319</v>
      </c>
      <c r="H119" s="10" t="n">
        <f aca="false">+F119+G119</f>
        <v>-1228319</v>
      </c>
      <c r="I119" s="18"/>
      <c r="J119" s="10" t="n">
        <f aca="false">+H119+I119</f>
        <v>-1228319</v>
      </c>
      <c r="K119" s="8"/>
    </row>
    <row r="120" customFormat="false" ht="15" hidden="true" customHeight="false" outlineLevel="1" collapsed="false">
      <c r="B120" s="31" t="s">
        <v>244</v>
      </c>
      <c r="C120" s="59"/>
      <c r="D120" s="59"/>
      <c r="E120" s="59"/>
      <c r="F120" s="10" t="n">
        <v>-5470478</v>
      </c>
      <c r="G120" s="10" t="n">
        <v>0</v>
      </c>
      <c r="H120" s="10" t="n">
        <f aca="false">+F120+G120</f>
        <v>-5470478</v>
      </c>
      <c r="I120" s="18"/>
      <c r="J120" s="10" t="n">
        <f aca="false">+H120+I120</f>
        <v>-5470478</v>
      </c>
      <c r="K120" s="8"/>
    </row>
    <row r="121" customFormat="false" ht="15" hidden="true" customHeight="false" outlineLevel="1" collapsed="false">
      <c r="B121" s="31" t="s">
        <v>245</v>
      </c>
      <c r="C121" s="59"/>
      <c r="D121" s="59"/>
      <c r="E121" s="59"/>
      <c r="F121" s="10" t="n">
        <v>-270000</v>
      </c>
      <c r="G121" s="10" t="n">
        <v>0</v>
      </c>
      <c r="H121" s="10" t="n">
        <f aca="false">+F121+G121</f>
        <v>-270000</v>
      </c>
      <c r="I121" s="18"/>
      <c r="J121" s="10" t="n">
        <f aca="false">+H121+I121</f>
        <v>-270000</v>
      </c>
      <c r="K121" s="8"/>
    </row>
    <row r="122" customFormat="false" ht="15" hidden="true" customHeight="false" outlineLevel="1" collapsed="false">
      <c r="B122" s="31" t="str">
        <f aca="false">+B113</f>
        <v>Transferencia a Reserva Legal</v>
      </c>
      <c r="C122" s="59"/>
      <c r="D122" s="59"/>
      <c r="E122" s="59"/>
      <c r="F122" s="10" t="n">
        <f aca="false">-F49</f>
        <v>-1710803</v>
      </c>
      <c r="G122" s="10" t="n">
        <v>-136481</v>
      </c>
      <c r="H122" s="10" t="n">
        <f aca="false">+F122+G122</f>
        <v>-1847284</v>
      </c>
      <c r="I122" s="18"/>
      <c r="J122" s="10" t="n">
        <f aca="false">+H122+I122</f>
        <v>-1847284</v>
      </c>
      <c r="K122" s="8"/>
    </row>
    <row r="123" customFormat="false" ht="15" hidden="true" customHeight="false" outlineLevel="1" collapsed="false">
      <c r="B123" s="31" t="s">
        <v>293</v>
      </c>
      <c r="C123" s="59"/>
      <c r="D123" s="59"/>
      <c r="E123" s="59"/>
      <c r="F123" s="25" t="n">
        <v>13423797</v>
      </c>
      <c r="G123" s="25" t="n">
        <v>2558818</v>
      </c>
      <c r="H123" s="25" t="n">
        <f aca="false">+F123+G123</f>
        <v>15982615</v>
      </c>
      <c r="I123" s="25" t="e">
        <f aca="false">-AD!O69+AD!Q69</f>
        <v>#REF!</v>
      </c>
      <c r="J123" s="25" t="e">
        <f aca="false">+H123+I123</f>
        <v>#REF!</v>
      </c>
      <c r="K123" s="33"/>
    </row>
    <row r="124" customFormat="false" ht="15" hidden="true" customHeight="false" outlineLevel="1" collapsed="false">
      <c r="B124" s="31" t="s">
        <v>280</v>
      </c>
      <c r="C124" s="59"/>
      <c r="D124" s="59"/>
      <c r="E124" s="59"/>
      <c r="F124" s="6" t="n">
        <v>35993633</v>
      </c>
      <c r="G124" s="6" t="n">
        <f aca="false">SUM(G118:G123)</f>
        <v>2005366</v>
      </c>
      <c r="H124" s="6" t="n">
        <f aca="false">SUM(H118:H123)</f>
        <v>37984609</v>
      </c>
      <c r="I124" s="6" t="n">
        <f aca="false">-AD!M17-AD!M45</f>
        <v>-16446314.0034</v>
      </c>
      <c r="J124" s="6" t="e">
        <f aca="false">SUM(J118:J123)</f>
        <v>#REF!</v>
      </c>
      <c r="K124" s="33"/>
      <c r="L124" s="2"/>
    </row>
    <row r="125" customFormat="false" ht="15" hidden="true" customHeight="false" outlineLevel="1" collapsed="false">
      <c r="B125" s="31" t="s">
        <v>294</v>
      </c>
      <c r="C125" s="59"/>
      <c r="D125" s="59"/>
      <c r="E125" s="59"/>
      <c r="F125" s="10" t="n">
        <v>-2936828</v>
      </c>
      <c r="G125" s="10" t="n">
        <v>0</v>
      </c>
      <c r="H125" s="10" t="n">
        <f aca="false">+F125+G125</f>
        <v>-2936828</v>
      </c>
      <c r="I125" s="10"/>
      <c r="J125" s="10" t="n">
        <f aca="false">+H125+I125</f>
        <v>-2936828</v>
      </c>
      <c r="K125" s="33"/>
      <c r="L125" s="2"/>
    </row>
    <row r="126" customFormat="false" ht="15" hidden="true" customHeight="false" outlineLevel="1" collapsed="false">
      <c r="B126" s="31" t="s">
        <v>295</v>
      </c>
      <c r="C126" s="59"/>
      <c r="D126" s="59"/>
      <c r="E126" s="59"/>
      <c r="F126" s="6" t="n">
        <f aca="false">+F124+F125</f>
        <v>33056805</v>
      </c>
      <c r="G126" s="6" t="n">
        <f aca="false">+G124+G125</f>
        <v>2005366</v>
      </c>
      <c r="H126" s="198" t="n">
        <f aca="false">+H124+H125</f>
        <v>35047781</v>
      </c>
      <c r="I126" s="6" t="n">
        <f aca="false">+I124+I125</f>
        <v>-16446314.0034</v>
      </c>
      <c r="J126" s="6" t="e">
        <f aca="false">+J124+J125</f>
        <v>#REF!</v>
      </c>
      <c r="K126" s="33"/>
      <c r="L126" s="2"/>
    </row>
    <row r="127" customFormat="false" ht="15" hidden="true" customHeight="false" outlineLevel="1" collapsed="false">
      <c r="B127" s="31" t="s">
        <v>296</v>
      </c>
      <c r="C127" s="59"/>
      <c r="D127" s="59"/>
      <c r="E127" s="59"/>
      <c r="F127" s="10" t="n">
        <v>0</v>
      </c>
      <c r="G127" s="10" t="n">
        <v>-2340607</v>
      </c>
      <c r="H127" s="10" t="n">
        <f aca="false">+F127+G127</f>
        <v>-2340607</v>
      </c>
      <c r="I127" s="18"/>
      <c r="J127" s="10" t="n">
        <f aca="false">+H127+I127</f>
        <v>-2340607</v>
      </c>
      <c r="L127" s="2"/>
    </row>
    <row r="128" customFormat="false" ht="15" hidden="true" customHeight="false" outlineLevel="1" collapsed="false">
      <c r="B128" s="31" t="s">
        <v>288</v>
      </c>
      <c r="C128" s="59"/>
      <c r="D128" s="59"/>
      <c r="E128" s="59"/>
      <c r="F128" s="10" t="n">
        <v>-1341885</v>
      </c>
      <c r="G128" s="10" t="n">
        <v>-260067</v>
      </c>
      <c r="H128" s="10" t="n">
        <f aca="false">+F128+G128</f>
        <v>-1601952</v>
      </c>
      <c r="I128" s="10"/>
      <c r="J128" s="10" t="n">
        <f aca="false">+H128+I128</f>
        <v>-1601952</v>
      </c>
      <c r="L128" s="2"/>
    </row>
    <row r="129" customFormat="false" ht="15" hidden="true" customHeight="false" outlineLevel="1" collapsed="false">
      <c r="B129" s="31" t="s">
        <v>106</v>
      </c>
      <c r="C129" s="59"/>
      <c r="D129" s="59"/>
      <c r="E129" s="59"/>
      <c r="F129" s="10" t="n">
        <v>6808164</v>
      </c>
      <c r="G129" s="10" t="n">
        <v>3793728</v>
      </c>
      <c r="H129" s="10" t="n">
        <f aca="false">+F129+G129</f>
        <v>10601892</v>
      </c>
      <c r="I129" s="10"/>
      <c r="J129" s="10" t="n">
        <f aca="false">+H129+I129</f>
        <v>10601892</v>
      </c>
      <c r="L129" s="2"/>
    </row>
    <row r="130" customFormat="false" ht="15" hidden="true" customHeight="false" outlineLevel="0" collapsed="false">
      <c r="B130" s="31" t="s">
        <v>269</v>
      </c>
      <c r="C130" s="59"/>
      <c r="D130" s="59"/>
      <c r="E130" s="59"/>
      <c r="F130" s="19" t="n">
        <f aca="false">SUM(F126:F129)</f>
        <v>38523084</v>
      </c>
      <c r="G130" s="19" t="n">
        <f aca="false">SUM(G126:G129)</f>
        <v>3198420</v>
      </c>
      <c r="H130" s="19" t="n">
        <f aca="false">+F130+G130</f>
        <v>41721504</v>
      </c>
      <c r="I130" s="19" t="n">
        <f aca="false">SUM(I126:I129)</f>
        <v>-16446314.0034</v>
      </c>
      <c r="J130" s="19" t="e">
        <f aca="false">SUM(J126:J129)</f>
        <v>#REF!</v>
      </c>
      <c r="K130" s="33"/>
      <c r="L130" s="2"/>
    </row>
    <row r="131" customFormat="false" ht="15" hidden="true" customHeight="false" outlineLevel="0" collapsed="false">
      <c r="B131" s="31" t="s">
        <v>297</v>
      </c>
      <c r="C131" s="59"/>
      <c r="D131" s="59"/>
      <c r="E131" s="59"/>
      <c r="F131" s="10" t="n">
        <v>-6127345</v>
      </c>
      <c r="G131" s="10"/>
      <c r="H131" s="10" t="n">
        <f aca="false">+F131+G131</f>
        <v>-6127345</v>
      </c>
      <c r="I131" s="10"/>
      <c r="J131" s="10" t="n">
        <f aca="false">+H131+I131</f>
        <v>-6127345</v>
      </c>
      <c r="K131" s="33"/>
      <c r="L131" s="2"/>
    </row>
    <row r="132" customFormat="false" ht="15" hidden="true" customHeight="false" outlineLevel="0" collapsed="false">
      <c r="B132" s="31" t="s">
        <v>255</v>
      </c>
      <c r="C132" s="59"/>
      <c r="D132" s="59"/>
      <c r="E132" s="59"/>
      <c r="F132" s="10" t="n">
        <v>-680816</v>
      </c>
      <c r="G132" s="10" t="n">
        <f aca="false">-259368-379372</f>
        <v>-638740</v>
      </c>
      <c r="H132" s="10" t="n">
        <f aca="false">+F132+G132</f>
        <v>-1319556</v>
      </c>
      <c r="I132" s="10"/>
      <c r="J132" s="10" t="n">
        <f aca="false">+H132+I132</f>
        <v>-1319556</v>
      </c>
      <c r="L132" s="2"/>
    </row>
    <row r="133" customFormat="false" ht="15" hidden="true" customHeight="false" outlineLevel="0" collapsed="false">
      <c r="B133" s="31" t="s">
        <v>298</v>
      </c>
      <c r="C133" s="59"/>
      <c r="D133" s="59"/>
      <c r="E133" s="59"/>
      <c r="F133" s="10" t="n">
        <f aca="false">446968</f>
        <v>446968</v>
      </c>
      <c r="G133" s="10"/>
      <c r="H133" s="10" t="n">
        <f aca="false">+F133+G133</f>
        <v>446968</v>
      </c>
      <c r="I133" s="10"/>
      <c r="J133" s="10" t="n">
        <f aca="false">+H133+I133</f>
        <v>446968</v>
      </c>
      <c r="L133" s="2"/>
    </row>
    <row r="134" customFormat="false" ht="15" hidden="true" customHeight="false" outlineLevel="0" collapsed="false">
      <c r="B134" s="31" t="s">
        <v>106</v>
      </c>
      <c r="C134" s="59"/>
      <c r="D134" s="59"/>
      <c r="E134" s="59"/>
      <c r="F134" s="10" t="n">
        <v>5595545</v>
      </c>
      <c r="G134" s="10" t="n">
        <v>2593677</v>
      </c>
      <c r="H134" s="10" t="n">
        <f aca="false">+F134+G134</f>
        <v>8189222</v>
      </c>
      <c r="I134" s="10" t="n">
        <f aca="false">+ER!S40</f>
        <v>1836936.415148</v>
      </c>
      <c r="J134" s="10" t="n">
        <f aca="false">+H134+I134</f>
        <v>10026158.415148</v>
      </c>
      <c r="K134" s="33" t="n">
        <f aca="false">+F134-5595545</f>
        <v>0</v>
      </c>
      <c r="L134" s="2"/>
    </row>
    <row r="135" customFormat="false" ht="15" hidden="true" customHeight="false" outlineLevel="0" collapsed="false">
      <c r="B135" s="31" t="s">
        <v>296</v>
      </c>
      <c r="C135" s="59"/>
      <c r="D135" s="59"/>
      <c r="E135" s="59"/>
      <c r="F135" s="10"/>
      <c r="G135" s="10" t="n">
        <v>-3414354</v>
      </c>
      <c r="H135" s="10" t="n">
        <f aca="false">+F135+G135</f>
        <v>-3414354</v>
      </c>
      <c r="I135" s="10"/>
      <c r="J135" s="10" t="n">
        <f aca="false">+H135+I135</f>
        <v>-3414354</v>
      </c>
      <c r="L135" s="2"/>
    </row>
    <row r="136" customFormat="false" ht="15" hidden="false" customHeight="false" outlineLevel="0" collapsed="false">
      <c r="B136" s="31" t="s">
        <v>270</v>
      </c>
      <c r="C136" s="59"/>
      <c r="D136" s="59"/>
      <c r="E136" s="59"/>
      <c r="F136" s="19" t="n">
        <f aca="false">SUM(F130:F135)</f>
        <v>37757436</v>
      </c>
      <c r="G136" s="199" t="n">
        <f aca="false">SUM(G130:G135)</f>
        <v>1739003</v>
      </c>
      <c r="H136" s="199" t="n">
        <f aca="false">+F136+G136</f>
        <v>39496439</v>
      </c>
      <c r="I136" s="19" t="n">
        <f aca="false">SUM(I130:I135)</f>
        <v>-14609377.588252</v>
      </c>
      <c r="J136" s="19" t="n">
        <f aca="false">+H136+I136</f>
        <v>24887061.411748</v>
      </c>
      <c r="K136" s="33"/>
      <c r="L136" s="2"/>
    </row>
    <row r="137" customFormat="false" ht="15" hidden="false" customHeight="false" outlineLevel="0" collapsed="false">
      <c r="B137" s="31" t="s">
        <v>298</v>
      </c>
      <c r="C137" s="59"/>
      <c r="D137" s="59"/>
      <c r="E137" s="59"/>
      <c r="F137" s="10" t="n">
        <v>251108</v>
      </c>
      <c r="G137" s="196" t="n">
        <v>-48910</v>
      </c>
      <c r="H137" s="196" t="n">
        <f aca="false">+F137+G137</f>
        <v>202198</v>
      </c>
      <c r="I137" s="10"/>
      <c r="J137" s="10" t="n">
        <f aca="false">+H137+I137</f>
        <v>202198</v>
      </c>
      <c r="L137" s="2"/>
    </row>
    <row r="138" customFormat="false" ht="15" hidden="false" customHeight="false" outlineLevel="0" collapsed="false">
      <c r="B138" s="31" t="s">
        <v>299</v>
      </c>
      <c r="C138" s="59"/>
      <c r="D138" s="59"/>
      <c r="E138" s="59"/>
      <c r="F138" s="10" t="n">
        <v>854455</v>
      </c>
      <c r="G138" s="196" t="n">
        <v>-334309</v>
      </c>
      <c r="H138" s="196" t="n">
        <f aca="false">+F138+G138</f>
        <v>520146</v>
      </c>
      <c r="I138" s="10"/>
      <c r="J138" s="10" t="n">
        <f aca="false">+H138+I138</f>
        <v>520146</v>
      </c>
      <c r="L138" s="2"/>
    </row>
    <row r="139" customFormat="false" ht="15" hidden="false" customHeight="false" outlineLevel="0" collapsed="false">
      <c r="B139" s="31" t="s">
        <v>296</v>
      </c>
      <c r="C139" s="59"/>
      <c r="D139" s="59"/>
      <c r="E139" s="27"/>
      <c r="F139" s="10" t="n">
        <v>-5035990</v>
      </c>
      <c r="G139" s="196" t="n">
        <v>-2143739</v>
      </c>
      <c r="H139" s="196" t="n">
        <f aca="false">+F139+G139</f>
        <v>-7179729</v>
      </c>
      <c r="I139" s="10"/>
      <c r="J139" s="10" t="n">
        <f aca="false">+H139+I139</f>
        <v>-7179729</v>
      </c>
      <c r="L139" s="2"/>
    </row>
    <row r="140" customFormat="false" ht="15" hidden="false" customHeight="false" outlineLevel="0" collapsed="false">
      <c r="B140" s="31" t="s">
        <v>255</v>
      </c>
      <c r="C140" s="59"/>
      <c r="D140" s="59"/>
      <c r="E140" s="2"/>
      <c r="F140" s="10" t="n">
        <v>-559555</v>
      </c>
      <c r="G140" s="196"/>
      <c r="H140" s="196" t="n">
        <f aca="false">+F140+G140</f>
        <v>-559555</v>
      </c>
      <c r="I140" s="10"/>
      <c r="J140" s="10" t="n">
        <f aca="false">+H140+I140</f>
        <v>-559555</v>
      </c>
      <c r="L140" s="2"/>
    </row>
    <row r="141" customFormat="false" ht="15" hidden="false" customHeight="false" outlineLevel="0" collapsed="false">
      <c r="B141" s="31" t="s">
        <v>300</v>
      </c>
      <c r="C141" s="59"/>
      <c r="D141" s="59"/>
      <c r="E141" s="59"/>
      <c r="F141" s="10"/>
      <c r="G141" s="196" t="n">
        <v>-190570</v>
      </c>
      <c r="H141" s="196" t="n">
        <f aca="false">+F141+G141</f>
        <v>-190570</v>
      </c>
      <c r="I141" s="10"/>
      <c r="J141" s="10" t="n">
        <f aca="false">+H141+I141</f>
        <v>-190570</v>
      </c>
      <c r="L141" s="2"/>
    </row>
    <row r="142" customFormat="false" ht="13.8" hidden="false" customHeight="false" outlineLevel="0" collapsed="false">
      <c r="B142" s="31" t="s">
        <v>301</v>
      </c>
      <c r="C142" s="59"/>
      <c r="D142" s="59"/>
      <c r="E142" s="59"/>
      <c r="F142" s="10" t="n">
        <v>9390028</v>
      </c>
      <c r="G142" s="196" t="n">
        <v>3747805</v>
      </c>
      <c r="H142" s="196" t="n">
        <f aca="false">+F142+G142</f>
        <v>13137833</v>
      </c>
      <c r="I142" s="10" t="n">
        <f aca="false">+ER!M36</f>
        <v>1762103.75</v>
      </c>
      <c r="J142" s="10" t="n">
        <f aca="false">+H142+I142</f>
        <v>14899936.75</v>
      </c>
      <c r="L142" s="2"/>
    </row>
    <row r="143" customFormat="false" ht="15" hidden="false" customHeight="false" outlineLevel="0" collapsed="false">
      <c r="B143" s="31" t="s">
        <v>277</v>
      </c>
      <c r="C143" s="59"/>
      <c r="D143" s="59"/>
      <c r="E143" s="59"/>
      <c r="F143" s="6" t="n">
        <f aca="false">SUM(F136:F142)</f>
        <v>42657482</v>
      </c>
      <c r="G143" s="194" t="n">
        <f aca="false">SUM(G136:G142)</f>
        <v>2769280</v>
      </c>
      <c r="H143" s="194" t="n">
        <f aca="false">+F143+G143</f>
        <v>45426762</v>
      </c>
      <c r="I143" s="6" t="n">
        <f aca="false">SUM(I136:I142)</f>
        <v>-12847273.838252</v>
      </c>
      <c r="J143" s="6" t="n">
        <f aca="false">+H143+I143</f>
        <v>32579488.161748</v>
      </c>
      <c r="K143" s="33"/>
      <c r="L143" s="2"/>
    </row>
    <row r="144" customFormat="false" ht="15" hidden="false" customHeight="false" outlineLevel="0" collapsed="false">
      <c r="B144" s="31" t="s">
        <v>302</v>
      </c>
      <c r="C144" s="59"/>
      <c r="D144" s="59"/>
      <c r="E144" s="59"/>
      <c r="F144" s="10" t="n">
        <f aca="false">-42657482+40887284</f>
        <v>-1770198</v>
      </c>
      <c r="G144" s="196" t="n">
        <v>-111739</v>
      </c>
      <c r="H144" s="196" t="n">
        <f aca="false">+F144+G144</f>
        <v>-1881937</v>
      </c>
      <c r="I144" s="10"/>
      <c r="J144" s="10" t="n">
        <f aca="false">+H144+I144</f>
        <v>-1881937</v>
      </c>
      <c r="K144" s="33"/>
      <c r="L144" s="2"/>
    </row>
    <row r="145" customFormat="false" ht="15" hidden="false" customHeight="false" outlineLevel="0" collapsed="false">
      <c r="B145" s="31" t="s">
        <v>303</v>
      </c>
      <c r="C145" s="59"/>
      <c r="D145" s="59"/>
      <c r="E145" s="59"/>
      <c r="F145" s="10" t="n">
        <v>-8215675</v>
      </c>
      <c r="G145" s="196"/>
      <c r="H145" s="196" t="n">
        <f aca="false">+F145+G145</f>
        <v>-8215675</v>
      </c>
      <c r="I145" s="10"/>
      <c r="J145" s="10" t="n">
        <f aca="false">+H145+I145</f>
        <v>-8215675</v>
      </c>
      <c r="K145" s="33"/>
      <c r="L145" s="2"/>
    </row>
    <row r="146" customFormat="false" ht="15" hidden="false" customHeight="false" outlineLevel="0" collapsed="false">
      <c r="B146" s="31" t="s">
        <v>255</v>
      </c>
      <c r="C146" s="59"/>
      <c r="D146" s="59"/>
      <c r="E146" s="59"/>
      <c r="F146" s="10" t="n">
        <v>-912853</v>
      </c>
      <c r="G146" s="196" t="n">
        <v>-374781</v>
      </c>
      <c r="H146" s="196" t="n">
        <f aca="false">+F146+G146</f>
        <v>-1287634</v>
      </c>
      <c r="I146" s="10"/>
      <c r="J146" s="10" t="n">
        <f aca="false">+H146+I146</f>
        <v>-1287634</v>
      </c>
      <c r="K146" s="33"/>
      <c r="L146" s="2"/>
    </row>
    <row r="147" customFormat="false" ht="15" hidden="false" customHeight="false" outlineLevel="0" collapsed="false">
      <c r="B147" s="31" t="s">
        <v>300</v>
      </c>
      <c r="C147" s="59"/>
      <c r="D147" s="59"/>
      <c r="E147" s="59"/>
      <c r="F147" s="10" t="n">
        <v>-5488035</v>
      </c>
      <c r="G147" s="196" t="n">
        <v>-3373023</v>
      </c>
      <c r="H147" s="196" t="n">
        <f aca="false">+F147+G147</f>
        <v>-8861058</v>
      </c>
      <c r="I147" s="10"/>
      <c r="J147" s="10" t="n">
        <f aca="false">+H147+I147</f>
        <v>-8861058</v>
      </c>
      <c r="K147" s="33"/>
      <c r="L147" s="2"/>
    </row>
    <row r="148" customFormat="false" ht="13.8" hidden="false" customHeight="false" outlineLevel="0" collapsed="false">
      <c r="B148" s="31" t="s">
        <v>301</v>
      </c>
      <c r="C148" s="59"/>
      <c r="D148" s="59"/>
      <c r="E148" s="59"/>
      <c r="F148" s="10" t="n">
        <v>15216635</v>
      </c>
      <c r="G148" s="196" t="n">
        <v>7092645</v>
      </c>
      <c r="H148" s="196" t="n">
        <f aca="false">+F148+G148</f>
        <v>22309280</v>
      </c>
      <c r="I148" s="10" t="n">
        <f aca="false">+ER!G36</f>
        <v>0</v>
      </c>
      <c r="J148" s="10" t="n">
        <f aca="false">+H148+I148</f>
        <v>22309280</v>
      </c>
      <c r="K148" s="33"/>
      <c r="L148" s="2"/>
    </row>
    <row r="149" customFormat="false" ht="15.75" hidden="false" customHeight="false" outlineLevel="0" collapsed="false">
      <c r="B149" s="31" t="s">
        <v>278</v>
      </c>
      <c r="C149" s="59"/>
      <c r="D149" s="59"/>
      <c r="E149" s="59"/>
      <c r="F149" s="200" t="n">
        <f aca="false">SUM(F143:F148)</f>
        <v>41487356</v>
      </c>
      <c r="G149" s="200" t="n">
        <f aca="false">SUM(G143:G148)</f>
        <v>6002382</v>
      </c>
      <c r="H149" s="200" t="n">
        <f aca="false">SUM(H143:H148)</f>
        <v>47489738</v>
      </c>
      <c r="I149" s="200" t="n">
        <f aca="false">SUM(I143:I148)</f>
        <v>-12847273.838252</v>
      </c>
      <c r="J149" s="200" t="n">
        <f aca="false">SUM(J143:J148)</f>
        <v>34642464.161748</v>
      </c>
      <c r="K149" s="33"/>
      <c r="L149" s="2"/>
    </row>
    <row r="150" customFormat="false" ht="13.8" hidden="false" customHeight="false" outlineLevel="0" collapsed="false">
      <c r="B150" s="31" t="s">
        <v>255</v>
      </c>
      <c r="C150" s="59"/>
      <c r="D150" s="59"/>
      <c r="E150" s="59"/>
      <c r="F150" s="181" t="n">
        <v>1460854</v>
      </c>
      <c r="G150" s="201" t="n">
        <v>-709264</v>
      </c>
      <c r="H150" s="181" t="n">
        <f aca="false">+F150+G150</f>
        <v>751590</v>
      </c>
      <c r="I150" s="181"/>
      <c r="J150" s="181" t="n">
        <f aca="false">+H150+I150</f>
        <v>751590</v>
      </c>
      <c r="K150" s="33"/>
    </row>
    <row r="151" customFormat="false" ht="13.8" hidden="false" customHeight="false" outlineLevel="0" collapsed="false">
      <c r="B151" s="31" t="s">
        <v>252</v>
      </c>
      <c r="C151" s="59"/>
      <c r="D151" s="59"/>
      <c r="E151" s="59"/>
      <c r="F151" s="202"/>
      <c r="G151" s="203" t="n">
        <v>63402</v>
      </c>
      <c r="H151" s="202"/>
      <c r="I151" s="202"/>
      <c r="J151" s="202"/>
      <c r="K151" s="33"/>
    </row>
    <row r="152" customFormat="false" ht="13.8" hidden="false" customHeight="false" outlineLevel="0" collapsed="false">
      <c r="B152" s="31" t="s">
        <v>303</v>
      </c>
      <c r="C152" s="59"/>
      <c r="D152" s="59"/>
      <c r="E152" s="59"/>
      <c r="F152" s="202"/>
      <c r="G152" s="203" t="n">
        <v>-5404856</v>
      </c>
      <c r="H152" s="202"/>
      <c r="I152" s="202"/>
      <c r="J152" s="202"/>
      <c r="K152" s="33"/>
    </row>
    <row r="153" customFormat="false" ht="13.8" hidden="false" customHeight="false" outlineLevel="0" collapsed="false">
      <c r="B153" s="31" t="s">
        <v>301</v>
      </c>
      <c r="C153" s="59"/>
      <c r="D153" s="59"/>
      <c r="E153" s="59"/>
      <c r="F153" s="182" t="n">
        <f aca="false">ER!D40</f>
        <v>31376176</v>
      </c>
      <c r="G153" s="197" t="n">
        <f aca="false">ER!E40</f>
        <v>14719479</v>
      </c>
      <c r="H153" s="182" t="n">
        <f aca="false">+F153+G153</f>
        <v>46095655</v>
      </c>
      <c r="I153" s="182"/>
      <c r="J153" s="182" t="n">
        <f aca="false">+H153+I153</f>
        <v>46095655</v>
      </c>
      <c r="K153" s="33"/>
    </row>
    <row r="154" customFormat="false" ht="13.8" hidden="false" customHeight="false" outlineLevel="0" collapsed="false">
      <c r="B154" s="31" t="s">
        <v>256</v>
      </c>
      <c r="C154" s="59"/>
      <c r="D154" s="59"/>
      <c r="E154" s="59"/>
      <c r="F154" s="183" t="n">
        <f aca="false">SUM(F149:F153)</f>
        <v>74324386</v>
      </c>
      <c r="G154" s="183" t="n">
        <f aca="false">SUM(G149:G153)</f>
        <v>14671143</v>
      </c>
      <c r="H154" s="183" t="n">
        <f aca="false">SUM(H149:H153)</f>
        <v>94336983</v>
      </c>
      <c r="I154" s="183" t="n">
        <f aca="false">SUM(I149:I153)</f>
        <v>-12847273.838252</v>
      </c>
      <c r="J154" s="183" t="n">
        <f aca="false">SUM(J149:J153)</f>
        <v>81489709.161748</v>
      </c>
      <c r="K154" s="33"/>
    </row>
    <row r="155" customFormat="false" ht="13.8" hidden="false" customHeight="false" outlineLevel="0" collapsed="false">
      <c r="B155" s="190" t="s">
        <v>304</v>
      </c>
      <c r="C155" s="191"/>
      <c r="D155" s="191"/>
      <c r="E155" s="191"/>
      <c r="F155" s="192" t="n">
        <f aca="false">F154+F107+F90+F81</f>
        <v>72169072</v>
      </c>
      <c r="G155" s="192" t="n">
        <f aca="false">G154+G107+G90+G81</f>
        <v>14430161</v>
      </c>
      <c r="H155" s="192" t="n">
        <f aca="false">H154+H107+H90+H81</f>
        <v>91940687</v>
      </c>
      <c r="I155" s="192" t="n">
        <f aca="false">I154+I107+I90+I81</f>
        <v>-12847273.838252</v>
      </c>
      <c r="J155" s="192" t="n">
        <f aca="false">J154+J107+J90+J81</f>
        <v>79093413.161748</v>
      </c>
      <c r="K155" s="33" t="n">
        <f aca="false">+I155-'BG '!N71</f>
        <v>-12847273.838252</v>
      </c>
      <c r="L155" s="2"/>
    </row>
    <row r="156" customFormat="false" ht="13.8" hidden="false" customHeight="false" outlineLevel="0" collapsed="false">
      <c r="B156" s="190"/>
      <c r="C156" s="191"/>
      <c r="D156" s="191"/>
      <c r="E156" s="191"/>
      <c r="F156" s="192"/>
      <c r="G156" s="192"/>
      <c r="H156" s="192"/>
      <c r="I156" s="192"/>
      <c r="J156" s="192"/>
      <c r="K156" s="33"/>
      <c r="L156" s="2"/>
    </row>
    <row r="157" customFormat="false" ht="13.15" hidden="false" customHeight="true" outlineLevel="0" collapsed="false">
      <c r="B157" s="184" t="s">
        <v>305</v>
      </c>
      <c r="C157" s="59"/>
      <c r="D157" s="59"/>
      <c r="E157" s="59"/>
      <c r="F157" s="10"/>
      <c r="G157" s="10"/>
      <c r="H157" s="10"/>
      <c r="I157" s="18"/>
      <c r="J157" s="18"/>
      <c r="L157" s="2"/>
    </row>
    <row r="158" customFormat="false" ht="15" hidden="true" customHeight="false" outlineLevel="1" collapsed="false">
      <c r="B158" s="31" t="s">
        <v>258</v>
      </c>
      <c r="C158" s="59"/>
      <c r="D158" s="59"/>
      <c r="E158" s="59"/>
      <c r="F158" s="10" t="n">
        <f aca="false">+F8+F30+F46+F65+F75+F84+F110</f>
        <v>39550217</v>
      </c>
      <c r="G158" s="10" t="n">
        <f aca="false">+G8+G30+G46+G65+G75+G84+G110</f>
        <v>5424539</v>
      </c>
      <c r="H158" s="10" t="n">
        <f aca="false">+F158+G158</f>
        <v>44974756</v>
      </c>
      <c r="I158" s="18"/>
      <c r="J158" s="10" t="n">
        <f aca="false">+H158+I158</f>
        <v>44974756</v>
      </c>
      <c r="L158" s="2"/>
    </row>
    <row r="159" customFormat="false" ht="15" hidden="true" customHeight="false" outlineLevel="1" collapsed="false">
      <c r="B159" s="31" t="s">
        <v>289</v>
      </c>
      <c r="C159" s="59"/>
      <c r="D159" s="59"/>
      <c r="E159" s="59"/>
      <c r="F159" s="10"/>
      <c r="G159" s="10" t="n">
        <v>-154178</v>
      </c>
      <c r="H159" s="10"/>
      <c r="I159" s="18"/>
      <c r="J159" s="10"/>
      <c r="L159" s="2"/>
    </row>
    <row r="160" customFormat="false" ht="15" hidden="true" customHeight="false" outlineLevel="1" collapsed="false">
      <c r="B160" s="31" t="s">
        <v>286</v>
      </c>
      <c r="C160" s="59"/>
      <c r="D160" s="59"/>
      <c r="E160" s="59"/>
      <c r="F160" s="10" t="n">
        <f aca="false">+F111</f>
        <v>-10113380</v>
      </c>
      <c r="G160" s="10"/>
      <c r="H160" s="10" t="n">
        <f aca="false">+F160+G160</f>
        <v>-10113380</v>
      </c>
      <c r="I160" s="18"/>
      <c r="J160" s="10" t="n">
        <f aca="false">+H160+I160</f>
        <v>-10113380</v>
      </c>
      <c r="L160" s="2"/>
    </row>
    <row r="161" customFormat="false" ht="15" hidden="true" customHeight="false" outlineLevel="1" collapsed="false">
      <c r="B161" s="31" t="s">
        <v>291</v>
      </c>
      <c r="C161" s="59"/>
      <c r="D161" s="59"/>
      <c r="E161" s="59"/>
      <c r="F161" s="10" t="n">
        <f aca="false">+F115+F84+F75+F65+F48+F32+F9</f>
        <v>55520427</v>
      </c>
      <c r="G161" s="10" t="n">
        <f aca="false">+G158+G159</f>
        <v>5270361</v>
      </c>
      <c r="H161" s="10" t="n">
        <f aca="false">+F161+G161</f>
        <v>60790788</v>
      </c>
      <c r="I161" s="71" t="e">
        <f aca="false">+I115</f>
        <v>#REF!</v>
      </c>
      <c r="J161" s="10" t="e">
        <f aca="false">+H161+I161</f>
        <v>#REF!</v>
      </c>
      <c r="L161" s="2"/>
    </row>
    <row r="162" customFormat="false" ht="15" hidden="true" customHeight="false" outlineLevel="1" collapsed="false">
      <c r="B162" s="31" t="s">
        <v>290</v>
      </c>
      <c r="C162" s="59"/>
      <c r="D162" s="59"/>
      <c r="E162" s="59"/>
      <c r="F162" s="10" t="n">
        <f aca="false">+F117</f>
        <v>-5585599</v>
      </c>
      <c r="G162" s="10" t="n">
        <f aca="false">+G117</f>
        <v>0</v>
      </c>
      <c r="H162" s="10" t="n">
        <f aca="false">+H117</f>
        <v>-5585599</v>
      </c>
      <c r="I162" s="10" t="n">
        <f aca="false">+I117</f>
        <v>0</v>
      </c>
      <c r="J162" s="10" t="n">
        <f aca="false">+J117</f>
        <v>-5585599</v>
      </c>
      <c r="L162" s="2"/>
    </row>
    <row r="163" customFormat="false" ht="15" hidden="true" customHeight="false" outlineLevel="1" collapsed="false">
      <c r="B163" s="31" t="s">
        <v>291</v>
      </c>
      <c r="C163" s="59"/>
      <c r="D163" s="59"/>
      <c r="E163" s="59"/>
      <c r="F163" s="10" t="n">
        <f aca="false">SUM(F161:F162)</f>
        <v>49934828</v>
      </c>
      <c r="G163" s="10" t="n">
        <f aca="false">SUM(G161:G162)</f>
        <v>5270361</v>
      </c>
      <c r="H163" s="10" t="n">
        <f aca="false">SUM(H161:H162)</f>
        <v>55205189</v>
      </c>
      <c r="I163" s="10" t="e">
        <f aca="false">SUM(I161:I162)</f>
        <v>#REF!</v>
      </c>
      <c r="J163" s="10" t="e">
        <f aca="false">SUM(J161:J162)</f>
        <v>#REF!</v>
      </c>
      <c r="L163" s="2"/>
    </row>
    <row r="164" customFormat="false" ht="15" hidden="true" customHeight="false" outlineLevel="1" collapsed="false">
      <c r="B164" s="31" t="str">
        <f aca="false">+B33</f>
        <v>Devolución de aporte de accionistas 13 enero 2015</v>
      </c>
      <c r="C164" s="59"/>
      <c r="D164" s="59"/>
      <c r="E164" s="59"/>
      <c r="F164" s="71" t="n">
        <f aca="false">+F33</f>
        <v>-3094403</v>
      </c>
      <c r="G164" s="10"/>
      <c r="H164" s="10" t="n">
        <f aca="false">+F164+G164</f>
        <v>-3094403</v>
      </c>
      <c r="I164" s="18"/>
      <c r="J164" s="10" t="n">
        <f aca="false">+H164+I164</f>
        <v>-3094403</v>
      </c>
      <c r="L164" s="2"/>
    </row>
    <row r="165" customFormat="false" ht="15" hidden="true" customHeight="false" outlineLevel="1" collapsed="false">
      <c r="B165" s="31" t="s">
        <v>243</v>
      </c>
      <c r="C165" s="59"/>
      <c r="D165" s="59"/>
      <c r="E165" s="59"/>
      <c r="F165" s="10"/>
      <c r="G165" s="10"/>
      <c r="H165" s="10" t="n">
        <f aca="false">+F165+G165</f>
        <v>0</v>
      </c>
      <c r="I165" s="18"/>
      <c r="J165" s="10" t="n">
        <f aca="false">+H165+I165</f>
        <v>0</v>
      </c>
      <c r="L165" s="2"/>
    </row>
    <row r="166" customFormat="false" ht="15" hidden="true" customHeight="false" outlineLevel="1" collapsed="false">
      <c r="B166" s="31" t="s">
        <v>244</v>
      </c>
      <c r="C166" s="59"/>
      <c r="D166" s="59"/>
      <c r="E166" s="59"/>
      <c r="F166" s="10"/>
      <c r="G166" s="10"/>
      <c r="H166" s="10" t="n">
        <f aca="false">+F166+G166</f>
        <v>0</v>
      </c>
      <c r="I166" s="18"/>
      <c r="J166" s="10" t="n">
        <f aca="false">+H166+I166</f>
        <v>0</v>
      </c>
      <c r="L166" s="2"/>
    </row>
    <row r="167" customFormat="false" ht="15" hidden="true" customHeight="false" outlineLevel="1" collapsed="false">
      <c r="B167" s="31" t="s">
        <v>245</v>
      </c>
      <c r="C167" s="59"/>
      <c r="D167" s="59"/>
      <c r="E167" s="59"/>
      <c r="F167" s="10"/>
      <c r="G167" s="10"/>
      <c r="H167" s="10" t="n">
        <f aca="false">+F167+G167</f>
        <v>0</v>
      </c>
      <c r="I167" s="18"/>
      <c r="J167" s="10" t="n">
        <f aca="false">+H167+I167</f>
        <v>0</v>
      </c>
      <c r="L167" s="2"/>
    </row>
    <row r="168" customFormat="false" ht="15" hidden="true" customHeight="false" outlineLevel="1" collapsed="false">
      <c r="B168" s="31" t="s">
        <v>265</v>
      </c>
      <c r="C168" s="59"/>
      <c r="D168" s="59"/>
      <c r="E168" s="59"/>
      <c r="F168" s="10"/>
      <c r="G168" s="10"/>
      <c r="H168" s="10" t="n">
        <f aca="false">+F168+G168</f>
        <v>0</v>
      </c>
      <c r="I168" s="18"/>
      <c r="J168" s="10" t="n">
        <f aca="false">+H168+I168</f>
        <v>0</v>
      </c>
      <c r="L168" s="2"/>
    </row>
    <row r="169" customFormat="false" ht="15" hidden="true" customHeight="false" outlineLevel="1" collapsed="false">
      <c r="B169" s="31" t="s">
        <v>306</v>
      </c>
      <c r="C169" s="59"/>
      <c r="D169" s="59"/>
      <c r="E169" s="59"/>
      <c r="F169" s="10" t="n">
        <v>14390</v>
      </c>
      <c r="G169" s="10" t="n">
        <v>0</v>
      </c>
      <c r="H169" s="10" t="n">
        <f aca="false">+F169+G169</f>
        <v>14390</v>
      </c>
      <c r="I169" s="18"/>
      <c r="J169" s="10" t="n">
        <f aca="false">+H169+I169</f>
        <v>14390</v>
      </c>
      <c r="K169" s="8"/>
      <c r="L169" s="2"/>
    </row>
    <row r="170" customFormat="false" ht="15" hidden="true" customHeight="false" outlineLevel="1" collapsed="false">
      <c r="B170" s="31" t="s">
        <v>106</v>
      </c>
      <c r="C170" s="59"/>
      <c r="D170" s="59"/>
      <c r="E170" s="59"/>
      <c r="F170" s="10" t="n">
        <f aca="false">+F123+F96</f>
        <v>13423797</v>
      </c>
      <c r="G170" s="10" t="n">
        <f aca="false">+G123+G96</f>
        <v>2603318</v>
      </c>
      <c r="H170" s="10" t="n">
        <f aca="false">+H123+H96</f>
        <v>16027115</v>
      </c>
      <c r="I170" s="10" t="e">
        <f aca="false">+I123+I96</f>
        <v>#REF!</v>
      </c>
      <c r="J170" s="10" t="e">
        <f aca="false">+J123+J96</f>
        <v>#REF!</v>
      </c>
      <c r="L170" s="2"/>
    </row>
    <row r="171" customFormat="false" ht="15" hidden="true" customHeight="false" outlineLevel="1" collapsed="false">
      <c r="B171" s="31" t="s">
        <v>307</v>
      </c>
      <c r="C171" s="59"/>
      <c r="D171" s="59"/>
      <c r="E171" s="59"/>
      <c r="F171" s="10" t="n">
        <f aca="false">SUM(F163:F170)</f>
        <v>60278612</v>
      </c>
      <c r="G171" s="10" t="n">
        <f aca="false">SUM(G163:G170)</f>
        <v>7873679</v>
      </c>
      <c r="H171" s="10" t="n">
        <f aca="false">+F171+G171</f>
        <v>68152291</v>
      </c>
      <c r="I171" s="10" t="n">
        <f aca="false">+I124</f>
        <v>-16446314.0034</v>
      </c>
      <c r="J171" s="10" t="n">
        <f aca="false">+H171+I171</f>
        <v>51705976.9966</v>
      </c>
      <c r="L171" s="2"/>
    </row>
    <row r="172" customFormat="false" ht="15" hidden="true" customHeight="false" outlineLevel="1" collapsed="false">
      <c r="B172" s="78" t="s">
        <v>294</v>
      </c>
      <c r="C172" s="38"/>
      <c r="D172" s="38"/>
      <c r="E172" s="38"/>
      <c r="F172" s="25" t="n">
        <v>-2936828</v>
      </c>
      <c r="G172" s="25" t="n">
        <v>0</v>
      </c>
      <c r="H172" s="25" t="n">
        <f aca="false">+F172+G172</f>
        <v>-2936828</v>
      </c>
      <c r="I172" s="25"/>
      <c r="J172" s="25" t="n">
        <f aca="false">+H172+I172</f>
        <v>-2936828</v>
      </c>
      <c r="K172" s="33"/>
      <c r="L172" s="2"/>
    </row>
    <row r="173" customFormat="false" ht="15" hidden="true" customHeight="false" outlineLevel="1" collapsed="false">
      <c r="B173" s="31" t="s">
        <v>295</v>
      </c>
      <c r="C173" s="59"/>
      <c r="D173" s="59"/>
      <c r="E173" s="59"/>
      <c r="F173" s="10" t="n">
        <f aca="false">+F171+F172</f>
        <v>57341784</v>
      </c>
      <c r="G173" s="10" t="n">
        <f aca="false">+G171+G172</f>
        <v>7873679</v>
      </c>
      <c r="H173" s="10" t="n">
        <f aca="false">+H171+H172</f>
        <v>65215463</v>
      </c>
      <c r="I173" s="10" t="n">
        <f aca="false">+I171+I172</f>
        <v>-16446314.0034</v>
      </c>
      <c r="J173" s="10" t="n">
        <f aca="false">+H173+I173</f>
        <v>48769148.9966</v>
      </c>
      <c r="K173" s="33"/>
      <c r="L173" s="2"/>
    </row>
    <row r="174" customFormat="false" ht="15" hidden="true" customHeight="false" outlineLevel="1" collapsed="false">
      <c r="B174" s="31" t="s">
        <v>286</v>
      </c>
      <c r="C174" s="59"/>
      <c r="D174" s="59"/>
      <c r="E174" s="59"/>
      <c r="F174" s="10" t="n">
        <v>0</v>
      </c>
      <c r="G174" s="10" t="n">
        <v>0</v>
      </c>
      <c r="H174" s="10" t="n">
        <f aca="false">+F174+G174</f>
        <v>0</v>
      </c>
      <c r="I174" s="10"/>
      <c r="J174" s="10" t="n">
        <f aca="false">+H174+I174</f>
        <v>0</v>
      </c>
      <c r="K174" s="33"/>
      <c r="L174" s="2"/>
    </row>
    <row r="175" customFormat="false" ht="15" hidden="true" customHeight="false" outlineLevel="1" collapsed="false">
      <c r="B175" s="31" t="s">
        <v>106</v>
      </c>
      <c r="C175" s="59"/>
      <c r="D175" s="59"/>
      <c r="E175" s="59"/>
      <c r="F175" s="10" t="n">
        <v>6312362</v>
      </c>
      <c r="G175" s="10" t="n">
        <f aca="false">+G129+G98</f>
        <v>3810401</v>
      </c>
      <c r="H175" s="10" t="n">
        <f aca="false">+F175+G175</f>
        <v>10122763</v>
      </c>
      <c r="I175" s="10" t="n">
        <f aca="false">+I129+I98</f>
        <v>0</v>
      </c>
      <c r="J175" s="10" t="n">
        <f aca="false">+H175+I175</f>
        <v>10122763</v>
      </c>
      <c r="L175" s="2"/>
    </row>
    <row r="176" customFormat="false" ht="15" hidden="true" customHeight="false" outlineLevel="0" collapsed="false">
      <c r="B176" s="31" t="s">
        <v>269</v>
      </c>
      <c r="C176" s="59"/>
      <c r="D176" s="59"/>
      <c r="E176" s="55"/>
      <c r="F176" s="19" t="n">
        <f aca="false">SUM(F173:F175)</f>
        <v>63654146</v>
      </c>
      <c r="G176" s="19" t="n">
        <f aca="false">SUM(G173:G175)</f>
        <v>11684080</v>
      </c>
      <c r="H176" s="19" t="n">
        <f aca="false">SUM(H173:H175)</f>
        <v>75338226</v>
      </c>
      <c r="I176" s="19" t="n">
        <f aca="false">SUM(I173:I175)</f>
        <v>-16446314.0034</v>
      </c>
      <c r="J176" s="19" t="n">
        <f aca="false">+H176+I176</f>
        <v>58891911.9966</v>
      </c>
      <c r="L176" s="2"/>
    </row>
    <row r="177" customFormat="false" ht="15" hidden="true" customHeight="false" outlineLevel="0" collapsed="false">
      <c r="B177" s="31" t="s">
        <v>298</v>
      </c>
      <c r="C177" s="59"/>
      <c r="D177" s="59"/>
      <c r="E177" s="59"/>
      <c r="F177" s="10" t="n">
        <f aca="false">128916+446968</f>
        <v>575884</v>
      </c>
      <c r="G177" s="10" t="n">
        <v>0</v>
      </c>
      <c r="H177" s="10" t="n">
        <f aca="false">+F177+G177</f>
        <v>575884</v>
      </c>
      <c r="I177" s="10"/>
      <c r="J177" s="10" t="n">
        <f aca="false">+H177+I177</f>
        <v>575884</v>
      </c>
      <c r="L177" s="2"/>
    </row>
    <row r="178" customFormat="false" ht="24.75" hidden="true" customHeight="true" outlineLevel="0" collapsed="false">
      <c r="B178" s="204" t="s">
        <v>261</v>
      </c>
      <c r="C178" s="204"/>
      <c r="D178" s="204"/>
      <c r="E178" s="204"/>
      <c r="F178" s="10" t="n">
        <v>-705016</v>
      </c>
      <c r="G178" s="10" t="n">
        <v>0</v>
      </c>
      <c r="H178" s="10" t="n">
        <f aca="false">+F178+G178</f>
        <v>-705016</v>
      </c>
      <c r="I178" s="10"/>
      <c r="J178" s="10" t="n">
        <f aca="false">+H178+I178</f>
        <v>-705016</v>
      </c>
      <c r="L178" s="2"/>
    </row>
    <row r="179" customFormat="false" ht="15" hidden="true" customHeight="false" outlineLevel="0" collapsed="false">
      <c r="B179" s="31" t="s">
        <v>106</v>
      </c>
      <c r="C179" s="59"/>
      <c r="D179" s="59"/>
      <c r="E179" s="59"/>
      <c r="F179" s="10" t="n">
        <v>7316288</v>
      </c>
      <c r="G179" s="25" t="n">
        <v>2567422</v>
      </c>
      <c r="H179" s="25" t="n">
        <f aca="false">+F179+G179</f>
        <v>9883710</v>
      </c>
      <c r="I179" s="25" t="n">
        <f aca="false">+I134</f>
        <v>1836936.415148</v>
      </c>
      <c r="J179" s="25" t="n">
        <f aca="false">+H179+I179</f>
        <v>11720646.415148</v>
      </c>
      <c r="L179" s="2"/>
    </row>
    <row r="180" customFormat="false" ht="15" hidden="false" customHeight="false" outlineLevel="0" collapsed="false">
      <c r="B180" s="31" t="s">
        <v>270</v>
      </c>
      <c r="C180" s="59"/>
      <c r="D180" s="59"/>
      <c r="E180" s="55"/>
      <c r="F180" s="6" t="n">
        <f aca="false">SUM(F176:F179)</f>
        <v>70841302</v>
      </c>
      <c r="G180" s="6" t="n">
        <f aca="false">SUM(G176:G179)+1</f>
        <v>14251503</v>
      </c>
      <c r="H180" s="6" t="n">
        <f aca="false">+G180+F180</f>
        <v>85092805</v>
      </c>
      <c r="I180" s="6" t="n">
        <f aca="false">SUM(I176:I179)</f>
        <v>-14609377.588252</v>
      </c>
      <c r="J180" s="6" t="n">
        <f aca="false">+H180+I180</f>
        <v>70483427.411748</v>
      </c>
      <c r="K180" s="33" t="n">
        <f aca="false">+F180-70841302</f>
        <v>0</v>
      </c>
      <c r="L180" s="2"/>
    </row>
    <row r="181" customFormat="false" ht="15" hidden="false" customHeight="false" outlineLevel="0" collapsed="false">
      <c r="B181" s="31" t="s">
        <v>308</v>
      </c>
      <c r="C181" s="59"/>
      <c r="D181" s="59"/>
      <c r="E181" s="59"/>
      <c r="F181" s="10" t="n">
        <v>70086</v>
      </c>
      <c r="G181" s="10" t="n">
        <v>-16606</v>
      </c>
      <c r="H181" s="10" t="n">
        <f aca="false">+F181+G181</f>
        <v>53480</v>
      </c>
      <c r="I181" s="18"/>
      <c r="J181" s="10" t="n">
        <f aca="false">+H181+I181</f>
        <v>53480</v>
      </c>
    </row>
    <row r="182" customFormat="false" ht="15" hidden="false" customHeight="false" outlineLevel="0" collapsed="false">
      <c r="B182" s="31" t="s">
        <v>298</v>
      </c>
      <c r="C182" s="59"/>
      <c r="D182" s="59"/>
      <c r="E182" s="59"/>
      <c r="F182" s="10" t="n">
        <v>251108</v>
      </c>
      <c r="G182" s="196" t="n">
        <v>-48910</v>
      </c>
      <c r="H182" s="196" t="n">
        <f aca="false">+F182+G182</f>
        <v>202198</v>
      </c>
      <c r="I182" s="10"/>
      <c r="J182" s="10" t="n">
        <f aca="false">+H182+I182</f>
        <v>202198</v>
      </c>
      <c r="L182" s="2"/>
    </row>
    <row r="183" customFormat="false" ht="15" hidden="false" customHeight="false" outlineLevel="0" collapsed="false">
      <c r="B183" s="31" t="s">
        <v>299</v>
      </c>
      <c r="C183" s="59"/>
      <c r="D183" s="59"/>
      <c r="E183" s="59"/>
      <c r="F183" s="10" t="n">
        <v>854455</v>
      </c>
      <c r="G183" s="196" t="n">
        <v>-334309</v>
      </c>
      <c r="H183" s="196" t="n">
        <f aca="false">+F183+G183</f>
        <v>520146</v>
      </c>
      <c r="I183" s="10"/>
      <c r="J183" s="10" t="n">
        <f aca="false">+H183+I183</f>
        <v>520146</v>
      </c>
      <c r="L183" s="2"/>
    </row>
    <row r="184" customFormat="false" ht="15" hidden="false" customHeight="false" outlineLevel="0" collapsed="false">
      <c r="B184" s="31" t="s">
        <v>300</v>
      </c>
      <c r="C184" s="59"/>
      <c r="D184" s="59"/>
      <c r="E184" s="59"/>
      <c r="F184" s="10"/>
      <c r="G184" s="196" t="n">
        <v>-190570</v>
      </c>
      <c r="H184" s="196" t="n">
        <f aca="false">+F184+G184</f>
        <v>-190570</v>
      </c>
      <c r="I184" s="10"/>
      <c r="J184" s="10" t="n">
        <f aca="false">+H184+I184</f>
        <v>-190570</v>
      </c>
      <c r="L184" s="2"/>
    </row>
    <row r="185" customFormat="false" ht="15" hidden="false" customHeight="false" outlineLevel="0" collapsed="false">
      <c r="B185" s="31" t="s">
        <v>301</v>
      </c>
      <c r="C185" s="59"/>
      <c r="D185" s="59"/>
      <c r="E185" s="59"/>
      <c r="F185" s="10" t="n">
        <f aca="false">+F142</f>
        <v>9390028</v>
      </c>
      <c r="G185" s="196" t="n">
        <f aca="false">+G142</f>
        <v>3747805</v>
      </c>
      <c r="H185" s="196" t="n">
        <f aca="false">+H142</f>
        <v>13137833</v>
      </c>
      <c r="I185" s="196" t="n">
        <f aca="false">+I142</f>
        <v>1762103.75</v>
      </c>
      <c r="J185" s="196" t="n">
        <f aca="false">+J142</f>
        <v>14899936.75</v>
      </c>
      <c r="L185" s="2"/>
    </row>
    <row r="186" customFormat="false" ht="15" hidden="false" customHeight="false" outlineLevel="0" collapsed="false">
      <c r="B186" s="31" t="s">
        <v>277</v>
      </c>
      <c r="C186" s="59"/>
      <c r="D186" s="59"/>
      <c r="E186" s="59"/>
      <c r="F186" s="6" t="n">
        <f aca="false">SUM(F180:F185)</f>
        <v>81406979</v>
      </c>
      <c r="G186" s="6" t="n">
        <f aca="false">SUM(G180:G185)</f>
        <v>17408913</v>
      </c>
      <c r="H186" s="6" t="n">
        <f aca="false">SUM(H180:H185)</f>
        <v>98815892</v>
      </c>
      <c r="I186" s="6" t="n">
        <f aca="false">SUM(I180:I185)</f>
        <v>-12847273.838252</v>
      </c>
      <c r="J186" s="6" t="n">
        <f aca="false">SUM(J180:J185)</f>
        <v>85968618.161748</v>
      </c>
    </row>
    <row r="187" customFormat="false" ht="15" hidden="false" customHeight="false" outlineLevel="0" collapsed="false">
      <c r="B187" s="31" t="s">
        <v>262</v>
      </c>
      <c r="C187" s="59"/>
      <c r="D187" s="59"/>
      <c r="E187" s="59"/>
      <c r="F187" s="10" t="n">
        <f aca="false">+F40+F23</f>
        <v>0</v>
      </c>
      <c r="G187" s="10"/>
      <c r="H187" s="10" t="n">
        <f aca="false">+F187+G187</f>
        <v>0</v>
      </c>
      <c r="I187" s="10"/>
      <c r="J187" s="10" t="n">
        <f aca="false">+H187+I187</f>
        <v>0</v>
      </c>
    </row>
    <row r="188" customFormat="false" ht="15" hidden="false" customHeight="false" outlineLevel="0" collapsed="false">
      <c r="B188" s="31" t="s">
        <v>302</v>
      </c>
      <c r="C188" s="59"/>
      <c r="D188" s="59"/>
      <c r="E188" s="59"/>
      <c r="F188" s="10" t="n">
        <f aca="false">+F144</f>
        <v>-1770198</v>
      </c>
      <c r="G188" s="10" t="n">
        <f aca="false">+G144</f>
        <v>-111739</v>
      </c>
      <c r="H188" s="10" t="n">
        <f aca="false">+F188+G188</f>
        <v>-1881937</v>
      </c>
      <c r="I188" s="10"/>
      <c r="J188" s="10" t="n">
        <f aca="false">+H188+I188</f>
        <v>-1881937</v>
      </c>
    </row>
    <row r="189" customFormat="false" ht="13.8" hidden="false" customHeight="false" outlineLevel="0" collapsed="false">
      <c r="B189" s="205" t="s">
        <v>300</v>
      </c>
      <c r="C189" s="59"/>
      <c r="D189" s="59"/>
      <c r="E189" s="59"/>
      <c r="F189" s="10" t="n">
        <f aca="false">+F147</f>
        <v>-5488035</v>
      </c>
      <c r="G189" s="10" t="n">
        <f aca="false">+G147</f>
        <v>-3373023</v>
      </c>
      <c r="H189" s="10" t="n">
        <f aca="false">+F189+G189</f>
        <v>-8861058</v>
      </c>
      <c r="I189" s="10"/>
      <c r="J189" s="10" t="n">
        <f aca="false">+H189+I189</f>
        <v>-8861058</v>
      </c>
    </row>
    <row r="190" customFormat="false" ht="13.8" hidden="false" customHeight="false" outlineLevel="0" collapsed="false">
      <c r="B190" s="205" t="s">
        <v>309</v>
      </c>
      <c r="C190" s="59"/>
      <c r="D190" s="59"/>
      <c r="E190" s="59"/>
      <c r="F190" s="10" t="n">
        <f aca="false">+F148+F104</f>
        <v>14116935</v>
      </c>
      <c r="G190" s="10" t="n">
        <f aca="false">+G148+G104</f>
        <v>7076908</v>
      </c>
      <c r="H190" s="10" t="n">
        <f aca="false">+F190+G190</f>
        <v>21193843</v>
      </c>
      <c r="I190" s="10" t="n">
        <f aca="false">+I148</f>
        <v>0</v>
      </c>
      <c r="J190" s="10" t="n">
        <f aca="false">+H190+I190</f>
        <v>21193843</v>
      </c>
    </row>
    <row r="191" customFormat="false" ht="13.8" hidden="false" customHeight="false" outlineLevel="0" collapsed="false">
      <c r="B191" s="205" t="s">
        <v>278</v>
      </c>
      <c r="C191" s="46"/>
      <c r="D191" s="46"/>
      <c r="E191" s="46"/>
      <c r="F191" s="19" t="n">
        <f aca="false">SUM(F186:F190)</f>
        <v>88265681</v>
      </c>
      <c r="G191" s="19" t="n">
        <f aca="false">SUM(G186:G190)</f>
        <v>21001059</v>
      </c>
      <c r="H191" s="19" t="n">
        <f aca="false">SUM(H186:H190)</f>
        <v>109266740</v>
      </c>
      <c r="I191" s="19" t="n">
        <f aca="false">SUM(I186:I190)</f>
        <v>-12847273.838252</v>
      </c>
      <c r="J191" s="19" t="n">
        <f aca="false">SUM(J186:J190)</f>
        <v>96419466.161748</v>
      </c>
    </row>
    <row r="192" customFormat="false" ht="13.8" hidden="false" customHeight="false" outlineLevel="0" collapsed="false">
      <c r="B192" s="31" t="s">
        <v>255</v>
      </c>
      <c r="C192" s="46"/>
      <c r="D192" s="46"/>
      <c r="E192" s="46"/>
      <c r="F192" s="181" t="n">
        <f aca="false">F25+F150</f>
        <v>-20168327</v>
      </c>
      <c r="G192" s="206" t="n">
        <f aca="false">G25+G150</f>
        <v>-709264</v>
      </c>
      <c r="H192" s="10" t="n">
        <f aca="false">+F192+G192</f>
        <v>-20877591</v>
      </c>
      <c r="I192" s="181"/>
      <c r="J192" s="181"/>
    </row>
    <row r="193" customFormat="false" ht="13.8" hidden="false" customHeight="false" outlineLevel="0" collapsed="false">
      <c r="B193" s="31" t="s">
        <v>252</v>
      </c>
      <c r="C193" s="46"/>
      <c r="D193" s="46"/>
      <c r="E193" s="46"/>
      <c r="F193" s="202" t="n">
        <f aca="false">F26+F61+F151</f>
        <v>6115000</v>
      </c>
      <c r="G193" s="202" t="n">
        <f aca="false">G26+G61+G151</f>
        <v>6177522</v>
      </c>
      <c r="H193" s="10" t="n">
        <f aca="false">+F193+G193</f>
        <v>12292522</v>
      </c>
      <c r="I193" s="202"/>
      <c r="J193" s="202"/>
    </row>
    <row r="194" customFormat="false" ht="13.8" hidden="false" customHeight="false" outlineLevel="0" collapsed="false">
      <c r="B194" s="31" t="s">
        <v>263</v>
      </c>
      <c r="C194" s="46"/>
      <c r="D194" s="46"/>
      <c r="E194" s="46"/>
      <c r="F194" s="202" t="n">
        <f aca="false">F42+F152</f>
        <v>-6115000</v>
      </c>
      <c r="G194" s="202" t="n">
        <f aca="false">G42+G152</f>
        <v>-5404856</v>
      </c>
      <c r="H194" s="10" t="n">
        <f aca="false">+F194+G194</f>
        <v>-11519856</v>
      </c>
      <c r="I194" s="202"/>
      <c r="J194" s="202"/>
    </row>
    <row r="195" customFormat="false" ht="13.8" hidden="false" customHeight="false" outlineLevel="0" collapsed="false">
      <c r="B195" s="31" t="s">
        <v>284</v>
      </c>
      <c r="C195" s="46"/>
      <c r="D195" s="46"/>
      <c r="E195" s="46"/>
      <c r="F195" s="202" t="n">
        <f aca="false">F106+F153</f>
        <v>31871978</v>
      </c>
      <c r="G195" s="202" t="n">
        <f aca="false">G106+G153</f>
        <v>14579979</v>
      </c>
      <c r="H195" s="10" t="n">
        <f aca="false">+F195+G195</f>
        <v>46451957</v>
      </c>
      <c r="I195" s="202"/>
      <c r="J195" s="202"/>
    </row>
    <row r="196" customFormat="false" ht="13.8" hidden="false" customHeight="false" outlineLevel="0" collapsed="false">
      <c r="B196" s="207" t="s">
        <v>310</v>
      </c>
      <c r="C196" s="208"/>
      <c r="D196" s="208"/>
      <c r="E196" s="208"/>
      <c r="F196" s="180" t="n">
        <f aca="false">SUM(F191:F195)</f>
        <v>99969332</v>
      </c>
      <c r="G196" s="180" t="n">
        <f aca="false">SUM(G191:G195)</f>
        <v>35644440</v>
      </c>
      <c r="H196" s="180" t="n">
        <f aca="false">SUM(H191:H195)</f>
        <v>135613772</v>
      </c>
      <c r="I196" s="180" t="n">
        <f aca="false">SUM(I191:I195)</f>
        <v>-12847273.838252</v>
      </c>
      <c r="J196" s="180" t="n">
        <f aca="false">SUM(J191:J195)</f>
        <v>96419466.161748</v>
      </c>
    </row>
    <row r="197" customFormat="false" ht="13.8" hidden="false" customHeight="false" outlineLevel="0" collapsed="false">
      <c r="B197" s="0"/>
      <c r="F197" s="209" t="n">
        <f aca="false">+F149+F105+F89+F80+F70+F60+F41+F24-F191</f>
        <v>0</v>
      </c>
      <c r="G197" s="209" t="n">
        <f aca="false">+G149+G105+G89+G80+G70+G60+G41+G24-G191</f>
        <v>0</v>
      </c>
      <c r="H197" s="209" t="n">
        <f aca="false">+H149+H105+H89+H80+H70+H60+H41+H24-H191</f>
        <v>0</v>
      </c>
      <c r="I197" s="209" t="n">
        <f aca="false">+I149+I105+I89+I80+I70+I60+I41+I24-I191</f>
        <v>0</v>
      </c>
      <c r="J197" s="209" t="n">
        <f aca="false">+J149+J105+J89+J80+J70+J60+J41+J24-J191</f>
        <v>0</v>
      </c>
    </row>
    <row r="198" customFormat="false" ht="13.8" hidden="false" customHeight="false" outlineLevel="0" collapsed="false">
      <c r="B198" s="31"/>
    </row>
    <row r="199" customFormat="false" ht="13.8" hidden="false" customHeight="false" outlineLevel="0" collapsed="false">
      <c r="B199" s="31"/>
      <c r="G199" s="2" t="n">
        <f aca="false">35504940</f>
        <v>35504940</v>
      </c>
      <c r="H199" s="0" t="n">
        <f aca="false">G196-G199</f>
        <v>139500</v>
      </c>
    </row>
    <row r="200" customFormat="false" ht="13.8" hidden="false" customHeight="false" outlineLevel="0" collapsed="false">
      <c r="B200" s="31"/>
      <c r="J200" s="33"/>
    </row>
    <row r="201" customFormat="false" ht="13.8" hidden="false" customHeight="false" outlineLevel="0" collapsed="false">
      <c r="B201" s="31"/>
      <c r="F201" s="7" t="s">
        <v>77</v>
      </c>
      <c r="G201" s="52"/>
      <c r="H201" s="52"/>
    </row>
    <row r="202" customFormat="false" ht="15" hidden="false" customHeight="false" outlineLevel="0" collapsed="false">
      <c r="F202" s="2" t="s">
        <v>78</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B37:E37"/>
    <mergeCell ref="B38:E38"/>
    <mergeCell ref="B39:E39"/>
    <mergeCell ref="B40:E40"/>
    <mergeCell ref="B178:E178"/>
  </mergeCells>
  <printOptions headings="false" gridLines="false" gridLinesSet="true" horizontalCentered="false" verticalCentered="false"/>
  <pageMargins left="0.7" right="0.7" top="0.75" bottom="0.75" header="0.511805555555555" footer="0.511805555555555"/>
  <pageSetup paperSize="1" scale="81"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08" man="true" max="16383" min="0"/>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7E6E6"/>
    <pageSetUpPr fitToPage="false"/>
  </sheetPr>
  <dimension ref="A1:W76"/>
  <sheetViews>
    <sheetView showFormulas="false" showGridLines="true" showRowColHeaders="true" showZeros="true" rightToLeft="false" tabSelected="false" showOutlineSymbols="true" defaultGridColor="true" view="normal" topLeftCell="A11" colorId="64" zoomScale="93" zoomScaleNormal="93" zoomScalePageLayoutView="100" workbookViewId="0">
      <selection pane="topLeft" activeCell="B37" activeCellId="0" sqref="B37"/>
    </sheetView>
  </sheetViews>
  <sheetFormatPr defaultColWidth="11.43359375" defaultRowHeight="13.8" zeroHeight="false" outlineLevelRow="1" outlineLevelCol="0"/>
  <cols>
    <col collapsed="false" customWidth="true" hidden="false" outlineLevel="0" max="1" min="1" style="8" width="2.71"/>
    <col collapsed="false" customWidth="false" hidden="false" outlineLevel="0" max="5" min="2" style="8" width="11.42"/>
    <col collapsed="false" customWidth="true" hidden="false" outlineLevel="0" max="6" min="6" style="8" width="12.14"/>
    <col collapsed="false" customWidth="true" hidden="false" outlineLevel="0" max="12" min="7" style="8" width="13.14"/>
    <col collapsed="false" customWidth="false" hidden="true" outlineLevel="0" max="14" min="13" style="8" width="11.42"/>
    <col collapsed="false" customWidth="true" hidden="true" outlineLevel="0" max="15" min="15" style="8" width="11.99"/>
    <col collapsed="false" customWidth="false" hidden="true" outlineLevel="0" max="18" min="16" style="8" width="11.42"/>
    <col collapsed="false" customWidth="true" hidden="true" outlineLevel="0" max="19" min="19" style="8" width="3.57"/>
    <col collapsed="false" customWidth="false" hidden="true" outlineLevel="0" max="21" min="20" style="8" width="11.42"/>
    <col collapsed="false" customWidth="true" hidden="false" outlineLevel="0" max="22" min="22" style="8" width="14.28"/>
    <col collapsed="false" customWidth="true" hidden="false" outlineLevel="0" max="23" min="23" style="8" width="13.29"/>
    <col collapsed="false" customWidth="false" hidden="false" outlineLevel="0" max="1024" min="24" style="8" width="11.42"/>
  </cols>
  <sheetData>
    <row r="1" customFormat="false" ht="13.8" hidden="false" customHeight="false" outlineLevel="0" collapsed="false">
      <c r="A1" s="3" t="s">
        <v>12</v>
      </c>
    </row>
    <row r="2" customFormat="false" ht="13.8" hidden="false" customHeight="false" outlineLevel="0" collapsed="false">
      <c r="A2" s="4" t="s">
        <v>311</v>
      </c>
      <c r="V2" s="33"/>
    </row>
    <row r="3" customFormat="false" ht="13.8" hidden="false" customHeight="false" outlineLevel="0" collapsed="false">
      <c r="A3" s="4" t="s">
        <v>13</v>
      </c>
    </row>
    <row r="4" customFormat="false" ht="13.8" hidden="false" customHeight="false" outlineLevel="0" collapsed="false">
      <c r="A4" s="8" t="s">
        <v>14</v>
      </c>
      <c r="G4" s="210" t="n">
        <v>2020</v>
      </c>
      <c r="H4" s="210"/>
      <c r="I4" s="211" t="n">
        <v>2019</v>
      </c>
      <c r="J4" s="211"/>
      <c r="K4" s="212" t="n">
        <v>2018</v>
      </c>
      <c r="L4" s="212"/>
      <c r="M4" s="212" t="n">
        <v>2017</v>
      </c>
      <c r="N4" s="212"/>
      <c r="O4" s="212" t="n">
        <v>2016</v>
      </c>
      <c r="P4" s="212"/>
      <c r="Q4" s="212" t="n">
        <v>2015</v>
      </c>
      <c r="R4" s="212"/>
      <c r="T4" s="212" t="n">
        <v>2014</v>
      </c>
      <c r="U4" s="212"/>
    </row>
    <row r="5" customFormat="false" ht="13.8" hidden="false" customHeight="false" outlineLevel="0" collapsed="false">
      <c r="G5" s="213" t="s">
        <v>312</v>
      </c>
      <c r="H5" s="213" t="s">
        <v>313</v>
      </c>
      <c r="I5" s="214" t="s">
        <v>312</v>
      </c>
      <c r="J5" s="214" t="s">
        <v>313</v>
      </c>
      <c r="K5" s="214" t="s">
        <v>312</v>
      </c>
      <c r="L5" s="214" t="s">
        <v>313</v>
      </c>
      <c r="M5" s="214" t="s">
        <v>312</v>
      </c>
      <c r="N5" s="214" t="s">
        <v>313</v>
      </c>
      <c r="O5" s="214" t="s">
        <v>312</v>
      </c>
      <c r="P5" s="214" t="s">
        <v>313</v>
      </c>
      <c r="Q5" s="214" t="s">
        <v>312</v>
      </c>
      <c r="R5" s="214" t="s">
        <v>313</v>
      </c>
      <c r="S5" s="215"/>
      <c r="T5" s="214" t="s">
        <v>312</v>
      </c>
      <c r="U5" s="214" t="s">
        <v>313</v>
      </c>
    </row>
    <row r="6" customFormat="false" ht="13.8" hidden="false" customHeight="false" outlineLevel="0" collapsed="false">
      <c r="B6" s="66"/>
      <c r="C6" s="216" t="s">
        <v>314</v>
      </c>
      <c r="D6" s="52"/>
      <c r="E6" s="52"/>
      <c r="F6" s="52"/>
      <c r="G6" s="217"/>
      <c r="H6" s="217"/>
      <c r="I6" s="17"/>
      <c r="J6" s="17"/>
      <c r="K6" s="17"/>
      <c r="L6" s="17"/>
      <c r="M6" s="17"/>
      <c r="N6" s="17"/>
      <c r="O6" s="18"/>
      <c r="P6" s="18"/>
      <c r="Q6" s="18"/>
      <c r="R6" s="18"/>
      <c r="T6" s="18"/>
      <c r="U6" s="18"/>
    </row>
    <row r="7" customFormat="false" ht="13.8" hidden="false" customHeight="false" outlineLevel="0" collapsed="false">
      <c r="B7" s="184" t="s">
        <v>315</v>
      </c>
      <c r="C7" s="59"/>
      <c r="D7" s="59"/>
      <c r="E7" s="59"/>
      <c r="F7" s="59"/>
      <c r="G7" s="218"/>
      <c r="H7" s="218"/>
      <c r="I7" s="10" t="n">
        <v>548165</v>
      </c>
      <c r="J7" s="10"/>
      <c r="K7" s="10" t="n">
        <v>443374</v>
      </c>
      <c r="L7" s="10"/>
      <c r="M7" s="10" t="n">
        <v>386373</v>
      </c>
      <c r="N7" s="10"/>
      <c r="O7" s="10" t="n">
        <v>323638</v>
      </c>
      <c r="P7" s="10"/>
      <c r="Q7" s="10" t="n">
        <v>942254</v>
      </c>
      <c r="R7" s="10"/>
      <c r="S7" s="2"/>
      <c r="T7" s="10" t="n">
        <v>679872</v>
      </c>
      <c r="U7" s="10"/>
    </row>
    <row r="8" customFormat="false" ht="13.8" hidden="true" customHeight="false" outlineLevel="0" collapsed="false">
      <c r="B8" s="184" t="s">
        <v>316</v>
      </c>
      <c r="C8" s="59"/>
      <c r="D8" s="59"/>
      <c r="E8" s="59"/>
      <c r="F8" s="59"/>
      <c r="G8" s="218"/>
      <c r="H8" s="218"/>
      <c r="I8" s="10"/>
      <c r="J8" s="10"/>
      <c r="K8" s="10"/>
      <c r="L8" s="10"/>
      <c r="M8" s="10"/>
      <c r="N8" s="10"/>
      <c r="O8" s="10"/>
      <c r="P8" s="10"/>
      <c r="Q8" s="10" t="n">
        <f aca="false">+R9-Q7</f>
        <v>113005</v>
      </c>
      <c r="R8" s="10"/>
      <c r="S8" s="2"/>
      <c r="T8" s="10"/>
      <c r="U8" s="10" t="n">
        <f aca="false">+T7-U9</f>
        <v>16101</v>
      </c>
    </row>
    <row r="9" customFormat="false" ht="13.8" hidden="false" customHeight="false" outlineLevel="0" collapsed="false">
      <c r="B9" s="184" t="s">
        <v>317</v>
      </c>
      <c r="C9" s="59"/>
      <c r="D9" s="59"/>
      <c r="E9" s="59"/>
      <c r="F9" s="59"/>
      <c r="G9" s="218"/>
      <c r="H9" s="218"/>
      <c r="I9" s="10"/>
      <c r="J9" s="10" t="n">
        <f aca="false">+I7</f>
        <v>548165</v>
      </c>
      <c r="K9" s="10"/>
      <c r="L9" s="10" t="n">
        <f aca="false">+K7</f>
        <v>443374</v>
      </c>
      <c r="M9" s="10"/>
      <c r="N9" s="10" t="n">
        <f aca="false">+M7</f>
        <v>386373</v>
      </c>
      <c r="O9" s="10"/>
      <c r="P9" s="10" t="n">
        <f aca="false">+O7</f>
        <v>323638</v>
      </c>
      <c r="Q9" s="10"/>
      <c r="R9" s="10" t="n">
        <v>1055259</v>
      </c>
      <c r="S9" s="2"/>
      <c r="T9" s="10"/>
      <c r="U9" s="10" t="n">
        <v>663771</v>
      </c>
    </row>
    <row r="10" customFormat="false" ht="13.8" hidden="false" customHeight="false" outlineLevel="0" collapsed="false">
      <c r="B10" s="31" t="s">
        <v>318</v>
      </c>
      <c r="C10" s="59"/>
      <c r="D10" s="59"/>
      <c r="E10" s="59"/>
      <c r="F10" s="59"/>
      <c r="G10" s="218"/>
      <c r="H10" s="218"/>
      <c r="I10" s="10"/>
      <c r="J10" s="10"/>
      <c r="K10" s="10"/>
      <c r="L10" s="10"/>
      <c r="M10" s="10"/>
      <c r="N10" s="10"/>
      <c r="O10" s="10"/>
      <c r="P10" s="10"/>
      <c r="Q10" s="10"/>
      <c r="R10" s="10"/>
      <c r="S10" s="2"/>
      <c r="T10" s="10"/>
      <c r="U10" s="10"/>
    </row>
    <row r="11" customFormat="false" ht="13.8" hidden="false" customHeight="false" outlineLevel="0" collapsed="false">
      <c r="B11" s="78"/>
      <c r="C11" s="38"/>
      <c r="D11" s="38"/>
      <c r="E11" s="38"/>
      <c r="F11" s="38" t="s">
        <v>319</v>
      </c>
      <c r="G11" s="219"/>
      <c r="H11" s="219"/>
      <c r="I11" s="19" t="n">
        <f aca="false">SUM(I7:I10)</f>
        <v>548165</v>
      </c>
      <c r="J11" s="19" t="n">
        <f aca="false">SUM(J7:J10)</f>
        <v>548165</v>
      </c>
      <c r="K11" s="19" t="n">
        <f aca="false">SUM(K7:K10)</f>
        <v>443374</v>
      </c>
      <c r="L11" s="19" t="n">
        <f aca="false">SUM(L7:L10)</f>
        <v>443374</v>
      </c>
      <c r="M11" s="19" t="n">
        <f aca="false">SUM(M7:M10)</f>
        <v>386373</v>
      </c>
      <c r="N11" s="19" t="n">
        <f aca="false">SUM(N7:N10)</f>
        <v>386373</v>
      </c>
      <c r="O11" s="19" t="n">
        <f aca="false">SUM(O7:O10)</f>
        <v>323638</v>
      </c>
      <c r="P11" s="19" t="n">
        <f aca="false">SUM(P7:P10)</f>
        <v>323638</v>
      </c>
      <c r="Q11" s="19" t="n">
        <f aca="false">SUM(Q7:Q10)</f>
        <v>1055259</v>
      </c>
      <c r="R11" s="19" t="n">
        <f aca="false">SUM(R7:R10)</f>
        <v>1055259</v>
      </c>
      <c r="S11" s="2"/>
      <c r="T11" s="19" t="n">
        <f aca="false">SUM(T7:T10)</f>
        <v>679872</v>
      </c>
      <c r="U11" s="19" t="n">
        <f aca="false">SUM(U7:U10)</f>
        <v>679872</v>
      </c>
    </row>
    <row r="12" customFormat="false" ht="13.8" hidden="false" customHeight="false" outlineLevel="0" collapsed="false">
      <c r="B12" s="66"/>
      <c r="C12" s="216" t="s">
        <v>320</v>
      </c>
      <c r="D12" s="52"/>
      <c r="E12" s="52"/>
      <c r="F12" s="52"/>
      <c r="G12" s="217"/>
      <c r="H12" s="217"/>
      <c r="I12" s="17"/>
      <c r="J12" s="17"/>
      <c r="K12" s="17"/>
      <c r="L12" s="17"/>
      <c r="M12" s="17"/>
      <c r="N12" s="17"/>
      <c r="O12" s="6"/>
      <c r="P12" s="6"/>
      <c r="Q12" s="6"/>
      <c r="R12" s="6"/>
      <c r="S12" s="2"/>
      <c r="T12" s="6"/>
      <c r="U12" s="6"/>
    </row>
    <row r="13" customFormat="false" ht="13.8" hidden="false" customHeight="false" outlineLevel="0" collapsed="false">
      <c r="B13" s="184" t="s">
        <v>321</v>
      </c>
      <c r="C13" s="59"/>
      <c r="D13" s="59"/>
      <c r="E13" s="59"/>
      <c r="F13" s="59"/>
      <c r="G13" s="218"/>
      <c r="H13" s="218"/>
      <c r="I13" s="10" t="n">
        <v>12478474</v>
      </c>
      <c r="J13" s="10"/>
      <c r="K13" s="10" t="n">
        <v>10682418</v>
      </c>
      <c r="L13" s="10"/>
      <c r="M13" s="10" t="n">
        <v>5099200</v>
      </c>
      <c r="N13" s="10"/>
      <c r="O13" s="10" t="n">
        <v>7790426</v>
      </c>
      <c r="P13" s="10"/>
      <c r="Q13" s="10" t="n">
        <v>2148793</v>
      </c>
      <c r="R13" s="10"/>
      <c r="S13" s="2"/>
      <c r="T13" s="10" t="n">
        <v>1912184</v>
      </c>
      <c r="U13" s="10"/>
    </row>
    <row r="14" customFormat="false" ht="13.8" hidden="false" customHeight="false" outlineLevel="0" collapsed="false">
      <c r="B14" s="184" t="s">
        <v>322</v>
      </c>
      <c r="C14" s="59"/>
      <c r="D14" s="59"/>
      <c r="E14" s="59"/>
      <c r="F14" s="59"/>
      <c r="G14" s="218"/>
      <c r="H14" s="218"/>
      <c r="I14" s="10" t="n">
        <v>150402</v>
      </c>
      <c r="J14" s="10"/>
      <c r="K14" s="10"/>
      <c r="L14" s="10"/>
      <c r="M14" s="10"/>
      <c r="N14" s="10"/>
      <c r="O14" s="10"/>
      <c r="P14" s="10"/>
      <c r="Q14" s="10"/>
      <c r="R14" s="10"/>
      <c r="S14" s="2"/>
      <c r="T14" s="10"/>
      <c r="U14" s="10"/>
    </row>
    <row r="15" customFormat="false" ht="13.8" hidden="false" customHeight="false" outlineLevel="0" collapsed="false">
      <c r="B15" s="184" t="s">
        <v>323</v>
      </c>
      <c r="C15" s="59"/>
      <c r="D15" s="59"/>
      <c r="E15" s="59"/>
      <c r="F15" s="59"/>
      <c r="G15" s="218"/>
      <c r="H15" s="218"/>
      <c r="I15" s="10" t="n">
        <v>2053333</v>
      </c>
      <c r="J15" s="10"/>
      <c r="K15" s="10"/>
      <c r="L15" s="10"/>
      <c r="M15" s="10"/>
      <c r="N15" s="10"/>
      <c r="O15" s="10"/>
      <c r="P15" s="10"/>
      <c r="Q15" s="10"/>
      <c r="R15" s="10"/>
      <c r="S15" s="2"/>
      <c r="T15" s="10"/>
      <c r="U15" s="10"/>
    </row>
    <row r="16" customFormat="false" ht="13.8" hidden="false" customHeight="false" outlineLevel="0" collapsed="false">
      <c r="B16" s="184" t="s">
        <v>324</v>
      </c>
      <c r="C16" s="59"/>
      <c r="D16" s="59"/>
      <c r="E16" s="59"/>
      <c r="F16" s="59"/>
      <c r="G16" s="218"/>
      <c r="H16" s="218"/>
      <c r="I16" s="10"/>
      <c r="J16" s="10" t="n">
        <v>289600</v>
      </c>
      <c r="K16" s="10"/>
      <c r="L16" s="10" t="n">
        <f aca="false">10820478-10764779</f>
        <v>55699</v>
      </c>
      <c r="M16" s="10" t="n">
        <f aca="false">-M13-M17+N18</f>
        <v>12940</v>
      </c>
      <c r="N16" s="10"/>
      <c r="O16" s="10"/>
      <c r="P16" s="10"/>
      <c r="Q16" s="10"/>
      <c r="R16" s="10"/>
      <c r="S16" s="2"/>
      <c r="T16" s="10"/>
      <c r="U16" s="10"/>
    </row>
    <row r="17" customFormat="false" ht="13.8" hidden="false" customHeight="false" outlineLevel="0" collapsed="false">
      <c r="B17" s="184" t="s">
        <v>325</v>
      </c>
      <c r="C17" s="59"/>
      <c r="D17" s="59"/>
      <c r="E17" s="59"/>
      <c r="F17" s="59"/>
      <c r="G17" s="218"/>
      <c r="H17" s="218"/>
      <c r="I17" s="10"/>
      <c r="J17" s="10"/>
      <c r="K17" s="10" t="n">
        <v>138060</v>
      </c>
      <c r="L17" s="10"/>
      <c r="M17" s="10" t="n">
        <v>138060</v>
      </c>
      <c r="N17" s="10"/>
      <c r="O17" s="10" t="e">
        <f aca="false">+#REF!</f>
        <v>#REF!</v>
      </c>
      <c r="P17" s="10"/>
      <c r="Q17" s="10"/>
      <c r="R17" s="10"/>
      <c r="S17" s="2"/>
      <c r="T17" s="10"/>
      <c r="U17" s="10"/>
    </row>
    <row r="18" customFormat="false" ht="13.8" hidden="false" customHeight="false" outlineLevel="0" collapsed="false">
      <c r="B18" s="184" t="s">
        <v>326</v>
      </c>
      <c r="C18" s="59"/>
      <c r="D18" s="59"/>
      <c r="E18" s="59"/>
      <c r="F18" s="59"/>
      <c r="G18" s="218"/>
      <c r="H18" s="218"/>
      <c r="I18" s="10"/>
      <c r="J18" s="10" t="n">
        <v>14392609</v>
      </c>
      <c r="K18" s="10"/>
      <c r="L18" s="10" t="n">
        <v>10764779</v>
      </c>
      <c r="M18" s="10"/>
      <c r="N18" s="10" t="n">
        <v>5250200</v>
      </c>
      <c r="O18" s="10"/>
      <c r="P18" s="10" t="n">
        <v>8398689</v>
      </c>
      <c r="Q18" s="10"/>
      <c r="R18" s="10" t="n">
        <v>2286853</v>
      </c>
      <c r="S18" s="2"/>
      <c r="T18" s="10"/>
      <c r="U18" s="10" t="n">
        <v>2802380</v>
      </c>
    </row>
    <row r="19" customFormat="false" ht="13.8" hidden="false" customHeight="false" outlineLevel="0" collapsed="false">
      <c r="B19" s="31" t="s">
        <v>327</v>
      </c>
      <c r="C19" s="59"/>
      <c r="D19" s="59"/>
      <c r="E19" s="59"/>
      <c r="F19" s="59"/>
      <c r="G19" s="218"/>
      <c r="H19" s="218"/>
      <c r="I19" s="10"/>
      <c r="J19" s="10"/>
      <c r="K19" s="10"/>
      <c r="L19" s="10"/>
      <c r="M19" s="10"/>
      <c r="N19" s="10"/>
      <c r="O19" s="10"/>
      <c r="P19" s="10"/>
      <c r="Q19" s="10"/>
      <c r="R19" s="10"/>
      <c r="S19" s="2"/>
      <c r="T19" s="10"/>
      <c r="U19" s="10"/>
    </row>
    <row r="20" customFormat="false" ht="13.8" hidden="false" customHeight="false" outlineLevel="0" collapsed="false">
      <c r="B20" s="78"/>
      <c r="C20" s="38"/>
      <c r="D20" s="38"/>
      <c r="E20" s="38"/>
      <c r="F20" s="38" t="s">
        <v>319</v>
      </c>
      <c r="G20" s="219"/>
      <c r="H20" s="219"/>
      <c r="I20" s="19" t="n">
        <f aca="false">SUM(I13:I19)</f>
        <v>14682209</v>
      </c>
      <c r="J20" s="19" t="n">
        <f aca="false">SUM(J13:J19)</f>
        <v>14682209</v>
      </c>
      <c r="K20" s="19" t="n">
        <f aca="false">SUM(K12:K18)</f>
        <v>10820478</v>
      </c>
      <c r="L20" s="19" t="n">
        <f aca="false">SUM(L12:L18)</f>
        <v>10820478</v>
      </c>
      <c r="M20" s="19" t="n">
        <f aca="false">SUM(M12:M18)</f>
        <v>5250200</v>
      </c>
      <c r="N20" s="19" t="n">
        <f aca="false">SUM(N12:N18)</f>
        <v>5250200</v>
      </c>
      <c r="O20" s="19" t="e">
        <f aca="false">SUM(O12:O18)</f>
        <v>#REF!</v>
      </c>
      <c r="P20" s="19" t="n">
        <f aca="false">SUM(P12:P18)</f>
        <v>8398689</v>
      </c>
      <c r="Q20" s="19" t="n">
        <f aca="false">SUM(Q12:Q18)</f>
        <v>2148793</v>
      </c>
      <c r="R20" s="19" t="n">
        <f aca="false">SUM(R12:R18)</f>
        <v>2286853</v>
      </c>
      <c r="S20" s="2"/>
      <c r="T20" s="19" t="n">
        <f aca="false">SUM(T12:T18)</f>
        <v>1912184</v>
      </c>
      <c r="U20" s="19" t="n">
        <f aca="false">SUM(U12:U18)</f>
        <v>2802380</v>
      </c>
    </row>
    <row r="21" customFormat="false" ht="13.8" hidden="false" customHeight="false" outlineLevel="0" collapsed="false">
      <c r="B21" s="66"/>
      <c r="C21" s="216" t="s">
        <v>328</v>
      </c>
      <c r="D21" s="52"/>
      <c r="E21" s="52"/>
      <c r="F21" s="52"/>
      <c r="G21" s="217"/>
      <c r="H21" s="217"/>
      <c r="I21" s="220" t="n">
        <f aca="false">+J20-I20</f>
        <v>0</v>
      </c>
      <c r="J21" s="17"/>
      <c r="K21" s="17"/>
      <c r="L21" s="17"/>
      <c r="M21" s="17"/>
      <c r="N21" s="17"/>
      <c r="O21" s="6"/>
      <c r="P21" s="6"/>
      <c r="Q21" s="6"/>
      <c r="R21" s="6"/>
      <c r="S21" s="2"/>
      <c r="T21" s="6"/>
      <c r="U21" s="6"/>
      <c r="V21" s="33"/>
    </row>
    <row r="22" customFormat="false" ht="13.8" hidden="false" customHeight="false" outlineLevel="0" collapsed="false">
      <c r="B22" s="184" t="s">
        <v>329</v>
      </c>
      <c r="C22" s="59"/>
      <c r="D22" s="59"/>
      <c r="E22" s="59"/>
      <c r="F22" s="59"/>
      <c r="G22" s="218"/>
      <c r="H22" s="218"/>
      <c r="I22" s="10" t="n">
        <v>92592770</v>
      </c>
      <c r="J22" s="10"/>
      <c r="K22" s="10" t="n">
        <v>74521538</v>
      </c>
      <c r="L22" s="10"/>
      <c r="M22" s="10" t="n">
        <v>51723340</v>
      </c>
      <c r="N22" s="10"/>
      <c r="O22" s="10" t="n">
        <f aca="false">+P23+P24+P25</f>
        <v>42471624</v>
      </c>
      <c r="P22" s="10"/>
      <c r="Q22" s="10" t="n">
        <v>20619081</v>
      </c>
      <c r="R22" s="10"/>
      <c r="S22" s="2"/>
      <c r="T22" s="10" t="n">
        <v>13229677</v>
      </c>
      <c r="U22" s="10"/>
      <c r="V22" s="2"/>
      <c r="W22" s="33"/>
    </row>
    <row r="23" customFormat="false" ht="13.8" hidden="false" customHeight="false" outlineLevel="0" collapsed="false">
      <c r="B23" s="221" t="s">
        <v>330</v>
      </c>
      <c r="C23" s="59"/>
      <c r="D23" s="59"/>
      <c r="E23" s="59"/>
      <c r="F23" s="59"/>
      <c r="G23" s="218"/>
      <c r="H23" s="218"/>
      <c r="I23" s="10"/>
      <c r="J23" s="10" t="n">
        <v>8203260</v>
      </c>
      <c r="K23" s="10"/>
      <c r="L23" s="10" t="n">
        <v>5827272</v>
      </c>
      <c r="M23" s="10"/>
      <c r="N23" s="10" t="n">
        <v>7144181</v>
      </c>
      <c r="O23" s="10"/>
      <c r="P23" s="10" t="n">
        <v>15846166</v>
      </c>
      <c r="Q23" s="10"/>
      <c r="R23" s="10" t="n">
        <v>5738082</v>
      </c>
      <c r="S23" s="2"/>
      <c r="T23" s="10"/>
      <c r="U23" s="10" t="n">
        <v>1475332</v>
      </c>
      <c r="W23" s="33"/>
    </row>
    <row r="24" customFormat="false" ht="13.8" hidden="false" customHeight="false" outlineLevel="0" collapsed="false">
      <c r="B24" s="184" t="s">
        <v>331</v>
      </c>
      <c r="C24" s="59"/>
      <c r="D24" s="59"/>
      <c r="E24" s="59"/>
      <c r="F24" s="59"/>
      <c r="G24" s="218"/>
      <c r="H24" s="218"/>
      <c r="I24" s="10"/>
      <c r="J24" s="10" t="n">
        <f aca="false">+I22-J23</f>
        <v>84389510</v>
      </c>
      <c r="K24" s="10"/>
      <c r="L24" s="10" t="n">
        <f aca="false">+K22-L23</f>
        <v>68694266</v>
      </c>
      <c r="M24" s="10"/>
      <c r="N24" s="10" t="n">
        <f aca="false">+M22-N23</f>
        <v>44579159</v>
      </c>
      <c r="O24" s="10"/>
      <c r="P24" s="10" t="n">
        <f aca="false">7436996+18578188+610274</f>
        <v>26625458</v>
      </c>
      <c r="Q24" s="10"/>
      <c r="R24" s="10" t="n">
        <f aca="false">+Q22-R23-R25</f>
        <v>11460999</v>
      </c>
      <c r="S24" s="2"/>
      <c r="T24" s="10"/>
      <c r="U24" s="10" t="n">
        <f aca="false">+T22-U23-U25</f>
        <v>11337419</v>
      </c>
      <c r="W24" s="33"/>
    </row>
    <row r="25" customFormat="false" ht="13.8" hidden="true" customHeight="false" outlineLevel="0" collapsed="false">
      <c r="B25" s="184" t="s">
        <v>332</v>
      </c>
      <c r="C25" s="59"/>
      <c r="D25" s="59"/>
      <c r="E25" s="59"/>
      <c r="F25" s="59"/>
      <c r="G25" s="218"/>
      <c r="H25" s="218"/>
      <c r="I25" s="10"/>
      <c r="J25" s="10"/>
      <c r="K25" s="10"/>
      <c r="L25" s="10"/>
      <c r="M25" s="10"/>
      <c r="N25" s="10"/>
      <c r="O25" s="10"/>
      <c r="P25" s="10" t="n">
        <v>0</v>
      </c>
      <c r="Q25" s="10"/>
      <c r="R25" s="10" t="n">
        <v>3420000</v>
      </c>
      <c r="S25" s="2"/>
      <c r="T25" s="10"/>
      <c r="U25" s="10" t="n">
        <v>416926</v>
      </c>
      <c r="V25" s="33"/>
    </row>
    <row r="26" customFormat="false" ht="13.8" hidden="false" customHeight="false" outlineLevel="0" collapsed="false">
      <c r="B26" s="31" t="s">
        <v>333</v>
      </c>
      <c r="C26" s="59"/>
      <c r="D26" s="59"/>
      <c r="E26" s="59"/>
      <c r="F26" s="59"/>
      <c r="G26" s="218"/>
      <c r="H26" s="218"/>
      <c r="I26" s="10"/>
      <c r="J26" s="10"/>
      <c r="K26" s="10"/>
      <c r="L26" s="10"/>
      <c r="M26" s="10"/>
      <c r="N26" s="10"/>
      <c r="O26" s="10"/>
      <c r="P26" s="10"/>
      <c r="Q26" s="10"/>
      <c r="R26" s="10"/>
      <c r="S26" s="2"/>
      <c r="T26" s="10"/>
      <c r="U26" s="10"/>
      <c r="W26" s="2"/>
    </row>
    <row r="27" customFormat="false" ht="13.8" hidden="false" customHeight="false" outlineLevel="0" collapsed="false">
      <c r="B27" s="78"/>
      <c r="C27" s="38"/>
      <c r="D27" s="38"/>
      <c r="E27" s="38"/>
      <c r="F27" s="38" t="s">
        <v>319</v>
      </c>
      <c r="G27" s="219"/>
      <c r="H27" s="219"/>
      <c r="I27" s="19" t="n">
        <f aca="false">SUM(I21:I24)</f>
        <v>92592770</v>
      </c>
      <c r="J27" s="19" t="n">
        <f aca="false">SUM(J21:J24)</f>
        <v>92592770</v>
      </c>
      <c r="K27" s="19" t="n">
        <f aca="false">SUM(K21:K24)</f>
        <v>74521538</v>
      </c>
      <c r="L27" s="19" t="n">
        <f aca="false">SUM(L21:L25)</f>
        <v>74521538</v>
      </c>
      <c r="M27" s="19" t="n">
        <f aca="false">SUM(M21:M24)</f>
        <v>51723340</v>
      </c>
      <c r="N27" s="19" t="n">
        <f aca="false">SUM(N21:N25)</f>
        <v>51723340</v>
      </c>
      <c r="O27" s="19" t="n">
        <f aca="false">SUM(O21:O24)</f>
        <v>42471624</v>
      </c>
      <c r="P27" s="19" t="n">
        <f aca="false">SUM(P21:P25)</f>
        <v>42471624</v>
      </c>
      <c r="Q27" s="19" t="n">
        <f aca="false">SUM(Q21:Q24)</f>
        <v>20619081</v>
      </c>
      <c r="R27" s="19" t="n">
        <f aca="false">SUM(R21:R25)</f>
        <v>20619081</v>
      </c>
      <c r="S27" s="2"/>
      <c r="T27" s="19" t="n">
        <f aca="false">SUM(T21:T24)</f>
        <v>13229677</v>
      </c>
      <c r="U27" s="19" t="n">
        <f aca="false">SUM(U21:U25)</f>
        <v>13229677</v>
      </c>
    </row>
    <row r="28" customFormat="false" ht="13.8" hidden="false" customHeight="false" outlineLevel="0" collapsed="false">
      <c r="B28" s="66"/>
      <c r="C28" s="216" t="s">
        <v>334</v>
      </c>
      <c r="D28" s="52"/>
      <c r="E28" s="52"/>
      <c r="F28" s="52"/>
      <c r="G28" s="217"/>
      <c r="H28" s="217"/>
      <c r="I28" s="17"/>
      <c r="J28" s="17"/>
      <c r="K28" s="17"/>
      <c r="L28" s="17"/>
      <c r="M28" s="17"/>
      <c r="N28" s="17"/>
      <c r="O28" s="6"/>
      <c r="P28" s="6"/>
      <c r="Q28" s="6"/>
      <c r="R28" s="6"/>
      <c r="S28" s="2"/>
      <c r="T28" s="6"/>
      <c r="U28" s="6"/>
    </row>
    <row r="29" customFormat="false" ht="13.8" hidden="false" customHeight="false" outlineLevel="0" collapsed="false">
      <c r="B29" s="184" t="s">
        <v>335</v>
      </c>
      <c r="C29" s="59"/>
      <c r="D29" s="59"/>
      <c r="E29" s="59"/>
      <c r="F29" s="59"/>
      <c r="G29" s="218"/>
      <c r="H29" s="218"/>
      <c r="I29" s="10" t="n">
        <f aca="false">2053333+2566667</f>
        <v>4620000</v>
      </c>
      <c r="J29" s="10"/>
      <c r="K29" s="10" t="n">
        <f aca="false">5360186+727881</f>
        <v>6088067</v>
      </c>
      <c r="L29" s="10"/>
      <c r="M29" s="10" t="n">
        <v>656393</v>
      </c>
      <c r="N29" s="10"/>
      <c r="O29" s="10" t="n">
        <v>352755</v>
      </c>
      <c r="P29" s="10"/>
      <c r="Q29" s="10" t="n">
        <v>5642042</v>
      </c>
      <c r="R29" s="10"/>
      <c r="S29" s="2"/>
      <c r="T29" s="10" t="n">
        <v>1187953</v>
      </c>
      <c r="U29" s="10"/>
    </row>
    <row r="30" customFormat="false" ht="13.8" hidden="false" customHeight="false" outlineLevel="0" collapsed="false">
      <c r="B30" s="184" t="s">
        <v>336</v>
      </c>
      <c r="C30" s="59"/>
      <c r="D30" s="59"/>
      <c r="E30" s="59"/>
      <c r="F30" s="59"/>
      <c r="G30" s="218"/>
      <c r="H30" s="218"/>
      <c r="I30" s="10" t="n">
        <v>15292925</v>
      </c>
      <c r="J30" s="10"/>
      <c r="K30" s="10"/>
      <c r="L30" s="10"/>
      <c r="M30" s="10"/>
      <c r="N30" s="10"/>
      <c r="O30" s="10"/>
      <c r="P30" s="10"/>
      <c r="Q30" s="10" t="n">
        <v>202251</v>
      </c>
      <c r="R30" s="10"/>
      <c r="S30" s="2"/>
      <c r="T30" s="10" t="n">
        <v>682574</v>
      </c>
      <c r="U30" s="10"/>
    </row>
    <row r="31" customFormat="false" ht="13.8" hidden="false" customHeight="false" outlineLevel="0" collapsed="false">
      <c r="B31" s="184" t="s">
        <v>337</v>
      </c>
      <c r="C31" s="59"/>
      <c r="D31" s="59"/>
      <c r="E31" s="59"/>
      <c r="F31" s="59"/>
      <c r="G31" s="218"/>
      <c r="H31" s="218"/>
      <c r="I31" s="10"/>
      <c r="J31" s="10"/>
      <c r="K31" s="10" t="n">
        <v>4546528</v>
      </c>
      <c r="L31" s="10"/>
      <c r="M31" s="10" t="n">
        <v>2251425</v>
      </c>
      <c r="N31" s="10"/>
      <c r="O31" s="10" t="n">
        <v>4279500</v>
      </c>
      <c r="P31" s="10"/>
      <c r="Q31" s="10" t="n">
        <v>1260000</v>
      </c>
      <c r="R31" s="10"/>
      <c r="S31" s="2"/>
      <c r="T31" s="10" t="n">
        <v>0</v>
      </c>
      <c r="U31" s="10"/>
    </row>
    <row r="32" customFormat="false" ht="13.8" hidden="true" customHeight="false" outlineLevel="0" collapsed="false">
      <c r="B32" s="184" t="s">
        <v>338</v>
      </c>
      <c r="C32" s="59"/>
      <c r="D32" s="59"/>
      <c r="E32" s="59"/>
      <c r="F32" s="59"/>
      <c r="G32" s="218"/>
      <c r="H32" s="218"/>
      <c r="I32" s="10"/>
      <c r="J32" s="10"/>
      <c r="K32" s="10"/>
      <c r="L32" s="10"/>
      <c r="M32" s="10" t="n">
        <v>2148000</v>
      </c>
      <c r="N32" s="10"/>
      <c r="O32" s="10" t="n">
        <v>2627700</v>
      </c>
      <c r="P32" s="10"/>
      <c r="Q32" s="10"/>
      <c r="R32" s="10"/>
      <c r="S32" s="2"/>
      <c r="T32" s="10"/>
      <c r="U32" s="10"/>
    </row>
    <row r="33" customFormat="false" ht="13.8" hidden="true" customHeight="false" outlineLevel="0" collapsed="false">
      <c r="B33" s="184" t="s">
        <v>339</v>
      </c>
      <c r="C33" s="59"/>
      <c r="D33" s="59"/>
      <c r="E33" s="59"/>
      <c r="F33" s="59"/>
      <c r="G33" s="218"/>
      <c r="H33" s="218"/>
      <c r="I33" s="10"/>
      <c r="J33" s="10"/>
      <c r="K33" s="10"/>
      <c r="L33" s="10"/>
      <c r="M33" s="10"/>
      <c r="N33" s="10"/>
      <c r="O33" s="10" t="n">
        <f aca="false">+Q34</f>
        <v>167629</v>
      </c>
      <c r="P33" s="10"/>
      <c r="Q33" s="10"/>
      <c r="R33" s="10"/>
      <c r="S33" s="2"/>
      <c r="T33" s="10"/>
      <c r="U33" s="10"/>
    </row>
    <row r="34" customFormat="false" ht="13.8" hidden="true" customHeight="false" outlineLevel="0" collapsed="false">
      <c r="B34" s="184" t="s">
        <v>340</v>
      </c>
      <c r="C34" s="59"/>
      <c r="D34" s="59"/>
      <c r="E34" s="59"/>
      <c r="F34" s="59"/>
      <c r="G34" s="218"/>
      <c r="H34" s="218"/>
      <c r="I34" s="10"/>
      <c r="J34" s="10"/>
      <c r="K34" s="10"/>
      <c r="L34" s="10"/>
      <c r="M34" s="10"/>
      <c r="N34" s="10"/>
      <c r="O34" s="10"/>
      <c r="P34" s="10"/>
      <c r="Q34" s="10" t="n">
        <f aca="false">+R36-7104293</f>
        <v>167629</v>
      </c>
      <c r="R34" s="10"/>
      <c r="S34" s="2"/>
      <c r="T34" s="10"/>
      <c r="U34" s="10" t="n">
        <f aca="false">1870527-U36</f>
        <v>777882</v>
      </c>
    </row>
    <row r="35" customFormat="false" ht="13.8" hidden="false" customHeight="false" outlineLevel="0" collapsed="false">
      <c r="B35" s="184" t="s">
        <v>341</v>
      </c>
      <c r="C35" s="59"/>
      <c r="D35" s="59"/>
      <c r="E35" s="59"/>
      <c r="F35" s="59"/>
      <c r="G35" s="218"/>
      <c r="H35" s="218"/>
      <c r="I35" s="10"/>
      <c r="J35" s="10"/>
      <c r="K35" s="10" t="n">
        <f aca="false">+L36-K29-K31</f>
        <v>315332</v>
      </c>
      <c r="L35" s="10"/>
      <c r="M35" s="10"/>
      <c r="N35" s="10"/>
      <c r="O35" s="10" t="n">
        <f aca="false">7447200-7427584</f>
        <v>19616</v>
      </c>
      <c r="P35" s="10"/>
      <c r="Q35" s="10"/>
      <c r="R35" s="10"/>
      <c r="S35" s="2"/>
      <c r="T35" s="10"/>
      <c r="U35" s="10"/>
      <c r="V35" s="33"/>
    </row>
    <row r="36" customFormat="false" ht="13.8" hidden="false" customHeight="false" outlineLevel="0" collapsed="false">
      <c r="B36" s="184" t="s">
        <v>342</v>
      </c>
      <c r="C36" s="59"/>
      <c r="D36" s="59"/>
      <c r="E36" s="59"/>
      <c r="F36" s="59"/>
      <c r="G36" s="218"/>
      <c r="H36" s="218"/>
      <c r="I36" s="10"/>
      <c r="J36" s="10" t="n">
        <v>19912925</v>
      </c>
      <c r="K36" s="10"/>
      <c r="L36" s="10" t="n">
        <v>10949927</v>
      </c>
      <c r="M36" s="10"/>
      <c r="N36" s="10" t="n">
        <v>5055818</v>
      </c>
      <c r="O36" s="10"/>
      <c r="P36" s="10" t="n">
        <f aca="false">7177200+270000</f>
        <v>7447200</v>
      </c>
      <c r="Q36" s="10"/>
      <c r="R36" s="10" t="n">
        <v>7271922</v>
      </c>
      <c r="S36" s="2"/>
      <c r="T36" s="10"/>
      <c r="U36" s="10" t="n">
        <v>1092645</v>
      </c>
      <c r="V36" s="33"/>
    </row>
    <row r="37" customFormat="false" ht="13.8" hidden="false" customHeight="false" outlineLevel="0" collapsed="false">
      <c r="B37" s="31" t="s">
        <v>327</v>
      </c>
      <c r="C37" s="59"/>
      <c r="D37" s="59"/>
      <c r="E37" s="59"/>
      <c r="F37" s="59"/>
      <c r="G37" s="218"/>
      <c r="H37" s="218"/>
      <c r="I37" s="10"/>
      <c r="J37" s="10"/>
      <c r="K37" s="10"/>
      <c r="L37" s="10"/>
      <c r="M37" s="10"/>
      <c r="N37" s="10"/>
      <c r="O37" s="10"/>
      <c r="P37" s="10"/>
      <c r="Q37" s="10"/>
      <c r="R37" s="10"/>
      <c r="S37" s="2"/>
      <c r="T37" s="10"/>
      <c r="U37" s="10"/>
    </row>
    <row r="38" customFormat="false" ht="13.8" hidden="false" customHeight="false" outlineLevel="0" collapsed="false">
      <c r="B38" s="78"/>
      <c r="C38" s="38"/>
      <c r="D38" s="38"/>
      <c r="E38" s="38"/>
      <c r="F38" s="222" t="s">
        <v>319</v>
      </c>
      <c r="G38" s="219"/>
      <c r="H38" s="219"/>
      <c r="I38" s="19" t="n">
        <f aca="false">SUM(I29:I36)</f>
        <v>19912925</v>
      </c>
      <c r="J38" s="19" t="n">
        <f aca="false">SUM(J29:J36)</f>
        <v>19912925</v>
      </c>
      <c r="K38" s="19" t="n">
        <f aca="false">SUM(K28:K36)</f>
        <v>10949927</v>
      </c>
      <c r="L38" s="19" t="n">
        <f aca="false">SUM(L28:L36)</f>
        <v>10949927</v>
      </c>
      <c r="M38" s="19" t="n">
        <f aca="false">SUM(M28:M36)</f>
        <v>5055818</v>
      </c>
      <c r="N38" s="19" t="n">
        <f aca="false">SUM(N28:N36)</f>
        <v>5055818</v>
      </c>
      <c r="O38" s="19" t="n">
        <f aca="false">SUM(O28:O36)</f>
        <v>7447200</v>
      </c>
      <c r="P38" s="19" t="n">
        <f aca="false">SUM(P28:P36)</f>
        <v>7447200</v>
      </c>
      <c r="Q38" s="19" t="n">
        <f aca="false">SUM(Q28:Q36)</f>
        <v>7271922</v>
      </c>
      <c r="R38" s="19" t="n">
        <f aca="false">SUM(R28:R36)</f>
        <v>7271922</v>
      </c>
      <c r="S38" s="2"/>
      <c r="T38" s="19" t="n">
        <f aca="false">SUM(T28:T36)</f>
        <v>1870527</v>
      </c>
      <c r="U38" s="19" t="n">
        <f aca="false">SUM(U28:U36)</f>
        <v>1870527</v>
      </c>
    </row>
    <row r="39" customFormat="false" ht="13.8" hidden="false" customHeight="false" outlineLevel="0" collapsed="false">
      <c r="B39" s="31"/>
      <c r="C39" s="223" t="s">
        <v>343</v>
      </c>
      <c r="D39" s="59"/>
      <c r="E39" s="59"/>
      <c r="F39" s="59"/>
      <c r="G39" s="218"/>
      <c r="H39" s="218"/>
      <c r="I39" s="71"/>
      <c r="J39" s="18"/>
      <c r="K39" s="18"/>
      <c r="L39" s="18"/>
      <c r="M39" s="18"/>
      <c r="N39" s="18"/>
      <c r="O39" s="6"/>
      <c r="P39" s="6"/>
      <c r="Q39" s="6"/>
      <c r="R39" s="6"/>
      <c r="S39" s="2"/>
      <c r="T39" s="5"/>
      <c r="U39" s="6"/>
    </row>
    <row r="40" customFormat="false" ht="13.8" hidden="false" customHeight="false" outlineLevel="0" collapsed="false">
      <c r="B40" s="184" t="s">
        <v>344</v>
      </c>
      <c r="C40" s="59"/>
      <c r="D40" s="59"/>
      <c r="E40" s="59"/>
      <c r="F40" s="59"/>
      <c r="G40" s="218"/>
      <c r="H40" s="218"/>
      <c r="I40" s="10" t="n">
        <v>9636341</v>
      </c>
      <c r="J40" s="10"/>
      <c r="K40" s="10" t="n">
        <v>9726442</v>
      </c>
      <c r="L40" s="10"/>
      <c r="M40" s="10" t="n">
        <f aca="false">+N41</f>
        <v>8402210</v>
      </c>
      <c r="N40" s="10"/>
      <c r="O40" s="10" t="n">
        <f aca="false">+'PP&amp;E'!J18</f>
        <v>3922517.4766</v>
      </c>
      <c r="P40" s="10"/>
      <c r="Q40" s="10"/>
      <c r="R40" s="10"/>
      <c r="S40" s="2"/>
      <c r="T40" s="9"/>
      <c r="U40" s="10"/>
    </row>
    <row r="41" customFormat="false" ht="13.8" hidden="false" customHeight="false" outlineLevel="0" collapsed="false">
      <c r="B41" s="184" t="s">
        <v>345</v>
      </c>
      <c r="C41" s="59"/>
      <c r="D41" s="59"/>
      <c r="E41" s="59"/>
      <c r="F41" s="59"/>
      <c r="G41" s="218"/>
      <c r="H41" s="218"/>
      <c r="I41" s="10"/>
      <c r="J41" s="10" t="n">
        <v>9636341</v>
      </c>
      <c r="K41" s="10"/>
      <c r="L41" s="10" t="n">
        <f aca="false">+K40</f>
        <v>9726442</v>
      </c>
      <c r="M41" s="10"/>
      <c r="N41" s="10" t="n">
        <v>8402210</v>
      </c>
      <c r="O41" s="10"/>
      <c r="P41" s="10" t="n">
        <f aca="false">+O40</f>
        <v>3922517.4766</v>
      </c>
      <c r="Q41" s="10"/>
      <c r="R41" s="10"/>
      <c r="S41" s="2"/>
      <c r="T41" s="9"/>
      <c r="U41" s="10"/>
    </row>
    <row r="42" customFormat="false" ht="29.45" hidden="false" customHeight="true" outlineLevel="0" collapsed="false">
      <c r="B42" s="224" t="s">
        <v>346</v>
      </c>
      <c r="C42" s="224"/>
      <c r="D42" s="224"/>
      <c r="E42" s="224"/>
      <c r="F42" s="224"/>
      <c r="G42" s="225"/>
      <c r="H42" s="225"/>
      <c r="I42" s="10"/>
      <c r="J42" s="10"/>
      <c r="K42" s="10"/>
      <c r="L42" s="10"/>
      <c r="M42" s="10"/>
      <c r="N42" s="10"/>
      <c r="O42" s="10"/>
      <c r="P42" s="10"/>
      <c r="Q42" s="10"/>
      <c r="R42" s="10"/>
      <c r="S42" s="2"/>
      <c r="T42" s="9"/>
      <c r="U42" s="10"/>
    </row>
    <row r="43" customFormat="false" ht="13.8" hidden="false" customHeight="false" outlineLevel="0" collapsed="false">
      <c r="B43" s="31"/>
      <c r="C43" s="59"/>
      <c r="D43" s="59"/>
      <c r="E43" s="59"/>
      <c r="F43" s="59" t="s">
        <v>319</v>
      </c>
      <c r="G43" s="219"/>
      <c r="H43" s="219"/>
      <c r="I43" s="19" t="n">
        <f aca="false">+I40+I41</f>
        <v>9636341</v>
      </c>
      <c r="J43" s="19" t="n">
        <f aca="false">+J40+J41</f>
        <v>9636341</v>
      </c>
      <c r="K43" s="19" t="n">
        <f aca="false">+K40</f>
        <v>9726442</v>
      </c>
      <c r="L43" s="19" t="n">
        <f aca="false">+L41</f>
        <v>9726442</v>
      </c>
      <c r="M43" s="19" t="n">
        <f aca="false">+M40</f>
        <v>8402210</v>
      </c>
      <c r="N43" s="19" t="n">
        <f aca="false">+N41</f>
        <v>8402210</v>
      </c>
      <c r="O43" s="19" t="n">
        <f aca="false">+O40</f>
        <v>3922517.4766</v>
      </c>
      <c r="P43" s="19" t="n">
        <f aca="false">+P41</f>
        <v>3922517.4766</v>
      </c>
      <c r="Q43" s="6"/>
      <c r="R43" s="6"/>
      <c r="S43" s="2"/>
      <c r="T43" s="5"/>
      <c r="U43" s="6"/>
    </row>
    <row r="44" customFormat="false" ht="13.8" hidden="false" customHeight="false" outlineLevel="0" collapsed="false">
      <c r="B44" s="66"/>
      <c r="C44" s="216" t="s">
        <v>347</v>
      </c>
      <c r="D44" s="52"/>
      <c r="E44" s="52"/>
      <c r="F44" s="52"/>
      <c r="G44" s="217"/>
      <c r="H44" s="217"/>
      <c r="I44" s="17"/>
      <c r="J44" s="17"/>
      <c r="K44" s="17"/>
      <c r="L44" s="17"/>
      <c r="M44" s="17"/>
      <c r="N44" s="17"/>
      <c r="O44" s="6"/>
      <c r="P44" s="6"/>
      <c r="Q44" s="6"/>
      <c r="R44" s="6"/>
      <c r="S44" s="2"/>
      <c r="T44" s="5"/>
      <c r="U44" s="6"/>
    </row>
    <row r="45" customFormat="false" ht="13.8" hidden="false" customHeight="false" outlineLevel="0" collapsed="false">
      <c r="B45" s="184" t="s">
        <v>348</v>
      </c>
      <c r="C45" s="59"/>
      <c r="D45" s="59"/>
      <c r="E45" s="59"/>
      <c r="F45" s="59"/>
      <c r="G45" s="218"/>
      <c r="H45" s="218"/>
      <c r="I45" s="10" t="n">
        <v>11525237</v>
      </c>
      <c r="J45" s="10"/>
      <c r="K45" s="10" t="n">
        <f aca="false">+M45-1836936</f>
        <v>14471318.0034</v>
      </c>
      <c r="L45" s="10"/>
      <c r="M45" s="10" t="n">
        <f aca="false">+N53-M48-M46</f>
        <v>16308254.0034</v>
      </c>
      <c r="N45" s="10"/>
      <c r="O45" s="10" t="n">
        <f aca="false">+P53-O49</f>
        <v>7213414</v>
      </c>
      <c r="P45" s="10"/>
      <c r="Q45" s="10" t="e">
        <f aca="false">+R51+R53+R50</f>
        <v>#REF!</v>
      </c>
      <c r="R45" s="10"/>
      <c r="S45" s="2"/>
      <c r="T45" s="9" t="n">
        <v>0</v>
      </c>
      <c r="U45" s="10"/>
      <c r="V45" s="2"/>
    </row>
    <row r="46" customFormat="false" ht="13.8" hidden="false" customHeight="false" outlineLevel="0" collapsed="false">
      <c r="B46" s="184" t="s">
        <v>349</v>
      </c>
      <c r="C46" s="59"/>
      <c r="D46" s="59"/>
      <c r="E46" s="59"/>
      <c r="F46" s="59"/>
      <c r="G46" s="218"/>
      <c r="H46" s="218"/>
      <c r="I46" s="10" t="n">
        <f aca="false">+K46+K57+K62</f>
        <v>3522607.435148</v>
      </c>
      <c r="J46" s="2"/>
      <c r="K46" s="10" t="n">
        <f aca="false">+M46+M62</f>
        <v>4078003.935148</v>
      </c>
      <c r="L46" s="10"/>
      <c r="M46" s="10" t="n">
        <f aca="false">+O62</f>
        <v>3486156.52</v>
      </c>
      <c r="N46" s="10"/>
      <c r="O46" s="10"/>
      <c r="P46" s="10"/>
      <c r="Q46" s="10"/>
      <c r="R46" s="10"/>
      <c r="S46" s="2"/>
      <c r="T46" s="9"/>
      <c r="U46" s="10"/>
      <c r="V46" s="33"/>
    </row>
    <row r="47" customFormat="false" ht="13.8" hidden="false" customHeight="false" outlineLevel="0" collapsed="false">
      <c r="B47" s="184" t="s">
        <v>350</v>
      </c>
      <c r="C47" s="59"/>
      <c r="D47" s="59"/>
      <c r="E47" s="59"/>
      <c r="F47" s="59"/>
      <c r="G47" s="218"/>
      <c r="H47" s="218"/>
      <c r="I47" s="10" t="n">
        <f aca="false">+K40</f>
        <v>9726442</v>
      </c>
      <c r="J47" s="2"/>
      <c r="K47" s="10"/>
      <c r="L47" s="10"/>
      <c r="M47" s="10"/>
      <c r="N47" s="10"/>
      <c r="O47" s="10"/>
      <c r="P47" s="10"/>
      <c r="Q47" s="10"/>
      <c r="R47" s="10"/>
      <c r="S47" s="2"/>
      <c r="T47" s="9"/>
      <c r="U47" s="10"/>
      <c r="V47" s="33"/>
    </row>
    <row r="48" customFormat="false" ht="13.8" hidden="false" customHeight="false" outlineLevel="0" collapsed="false">
      <c r="B48" s="184" t="s">
        <v>351</v>
      </c>
      <c r="C48" s="59"/>
      <c r="D48" s="59"/>
      <c r="E48" s="59"/>
      <c r="F48" s="59"/>
      <c r="G48" s="218"/>
      <c r="H48" s="218"/>
      <c r="I48" s="10"/>
      <c r="J48" s="2" t="n">
        <f aca="false">+K17-L16+K35</f>
        <v>397693</v>
      </c>
      <c r="K48" s="10"/>
      <c r="L48" s="10"/>
      <c r="M48" s="10" t="n">
        <f aca="false">+O40</f>
        <v>3922517.4766</v>
      </c>
      <c r="N48" s="10"/>
      <c r="O48" s="10"/>
      <c r="P48" s="10"/>
      <c r="Q48" s="10"/>
      <c r="R48" s="10"/>
      <c r="S48" s="2"/>
      <c r="T48" s="9"/>
      <c r="U48" s="10"/>
      <c r="V48" s="33"/>
    </row>
    <row r="49" customFormat="false" ht="13.8" hidden="true" customHeight="false" outlineLevel="1" collapsed="false">
      <c r="B49" s="184" t="s">
        <v>352</v>
      </c>
      <c r="C49" s="59"/>
      <c r="D49" s="59"/>
      <c r="E49" s="59"/>
      <c r="F49" s="59"/>
      <c r="G49" s="218"/>
      <c r="H49" s="218"/>
      <c r="I49" s="10"/>
      <c r="K49" s="10"/>
      <c r="M49" s="10"/>
      <c r="O49" s="10"/>
      <c r="P49" s="18"/>
      <c r="Q49" s="10"/>
      <c r="R49" s="10"/>
      <c r="S49" s="2"/>
      <c r="T49" s="10"/>
      <c r="U49" s="10"/>
    </row>
    <row r="50" customFormat="false" ht="13.8" hidden="true" customHeight="false" outlineLevel="1" collapsed="false">
      <c r="B50" s="184" t="s">
        <v>353</v>
      </c>
      <c r="C50" s="59"/>
      <c r="D50" s="59"/>
      <c r="E50" s="59"/>
      <c r="F50" s="59"/>
      <c r="G50" s="218"/>
      <c r="H50" s="218"/>
      <c r="I50" s="10"/>
      <c r="J50" s="10"/>
      <c r="K50" s="10"/>
      <c r="L50" s="10"/>
      <c r="M50" s="10"/>
      <c r="N50" s="10"/>
      <c r="O50" s="10"/>
      <c r="P50" s="10"/>
      <c r="Q50" s="10"/>
      <c r="R50" s="10" t="e">
        <f aca="false">+T69+16101</f>
        <v>#REF!</v>
      </c>
      <c r="S50" s="2"/>
      <c r="T50" s="9"/>
      <c r="U50" s="10" t="n">
        <v>0</v>
      </c>
    </row>
    <row r="51" customFormat="false" ht="13.8" hidden="true" customHeight="false" outlineLevel="1" collapsed="false">
      <c r="B51" s="184" t="s">
        <v>354</v>
      </c>
      <c r="C51" s="59"/>
      <c r="D51" s="59"/>
      <c r="E51" s="59"/>
      <c r="F51" s="59"/>
      <c r="G51" s="218"/>
      <c r="H51" s="218"/>
      <c r="I51" s="10"/>
      <c r="J51" s="10"/>
      <c r="K51" s="10"/>
      <c r="L51" s="10" t="n">
        <v>0</v>
      </c>
      <c r="M51" s="10"/>
      <c r="N51" s="10" t="n">
        <v>0</v>
      </c>
      <c r="O51" s="10"/>
      <c r="P51" s="18"/>
      <c r="Q51" s="10"/>
      <c r="R51" s="10" t="n">
        <f aca="false">+U25</f>
        <v>416926</v>
      </c>
      <c r="S51" s="2"/>
      <c r="T51" s="9"/>
      <c r="U51" s="10" t="n">
        <v>0</v>
      </c>
    </row>
    <row r="52" customFormat="false" ht="13.8" hidden="true" customHeight="false" outlineLevel="1" collapsed="false">
      <c r="B52" s="184" t="s">
        <v>355</v>
      </c>
      <c r="C52" s="59"/>
      <c r="D52" s="59"/>
      <c r="E52" s="59"/>
      <c r="F52" s="59"/>
      <c r="G52" s="218"/>
      <c r="H52" s="218"/>
      <c r="I52" s="10"/>
      <c r="J52" s="10"/>
      <c r="K52" s="10"/>
      <c r="L52" s="10"/>
      <c r="M52" s="10"/>
      <c r="N52" s="10"/>
      <c r="O52" s="10"/>
      <c r="P52" s="10" t="n">
        <v>0</v>
      </c>
      <c r="Q52" s="10"/>
      <c r="R52" s="10"/>
      <c r="S52" s="2"/>
      <c r="T52" s="9"/>
      <c r="U52" s="10"/>
    </row>
    <row r="53" customFormat="false" ht="13.8" hidden="false" customHeight="false" outlineLevel="0" collapsed="false">
      <c r="B53" s="184" t="s">
        <v>356</v>
      </c>
      <c r="C53" s="59"/>
      <c r="D53" s="59"/>
      <c r="E53" s="59"/>
      <c r="F53" s="59"/>
      <c r="G53" s="218"/>
      <c r="H53" s="218"/>
      <c r="I53" s="10"/>
      <c r="J53" s="10" t="n">
        <f aca="false">+L53+L23</f>
        <v>24376593.938548</v>
      </c>
      <c r="K53" s="10"/>
      <c r="L53" s="10" t="n">
        <f aca="false">+K45+K46</f>
        <v>18549321.938548</v>
      </c>
      <c r="M53" s="10"/>
      <c r="N53" s="10" t="n">
        <f aca="false">+P53+P23+795508-138160</f>
        <v>23716928</v>
      </c>
      <c r="O53" s="10"/>
      <c r="P53" s="10" t="n">
        <f aca="false">+R53+R23</f>
        <v>7213414</v>
      </c>
      <c r="Q53" s="10"/>
      <c r="R53" s="10" t="n">
        <f aca="false">+U23</f>
        <v>1475332</v>
      </c>
      <c r="S53" s="2"/>
      <c r="T53" s="9"/>
      <c r="U53" s="10" t="n">
        <v>0</v>
      </c>
    </row>
    <row r="54" customFormat="false" ht="13.8" hidden="false" customHeight="false" outlineLevel="0" collapsed="false">
      <c r="B54" s="31" t="s">
        <v>357</v>
      </c>
      <c r="C54" s="59"/>
      <c r="D54" s="59"/>
      <c r="E54" s="59"/>
      <c r="F54" s="59"/>
      <c r="G54" s="218"/>
      <c r="H54" s="218"/>
      <c r="I54" s="18"/>
      <c r="J54" s="18"/>
      <c r="K54" s="18"/>
      <c r="L54" s="18"/>
      <c r="M54" s="18"/>
      <c r="N54" s="18"/>
      <c r="O54" s="10"/>
      <c r="P54" s="25"/>
      <c r="Q54" s="10"/>
      <c r="R54" s="10"/>
      <c r="T54" s="31"/>
      <c r="U54" s="18"/>
    </row>
    <row r="55" customFormat="false" ht="13.8" hidden="false" customHeight="false" outlineLevel="0" collapsed="false">
      <c r="B55" s="78"/>
      <c r="C55" s="38"/>
      <c r="D55" s="38"/>
      <c r="E55" s="38"/>
      <c r="F55" s="38" t="s">
        <v>319</v>
      </c>
      <c r="G55" s="219"/>
      <c r="H55" s="219"/>
      <c r="I55" s="19" t="n">
        <f aca="false">SUM(I45:I54)</f>
        <v>24774286.435148</v>
      </c>
      <c r="J55" s="19" t="n">
        <f aca="false">SUM(J46:J54)</f>
        <v>24774286.938548</v>
      </c>
      <c r="K55" s="19" t="n">
        <f aca="false">SUM(K44:K53)</f>
        <v>18549321.938548</v>
      </c>
      <c r="L55" s="19" t="n">
        <f aca="false">SUM(L44:L53)</f>
        <v>18549321.938548</v>
      </c>
      <c r="M55" s="19" t="n">
        <f aca="false">SUM(M44:M53)</f>
        <v>23716928</v>
      </c>
      <c r="N55" s="19" t="n">
        <f aca="false">SUM(N44:N53)</f>
        <v>23716928</v>
      </c>
      <c r="O55" s="19" t="n">
        <f aca="false">SUM(O44:O53)</f>
        <v>7213414</v>
      </c>
      <c r="P55" s="19" t="n">
        <f aca="false">SUM(P44:P53)</f>
        <v>7213414</v>
      </c>
      <c r="Q55" s="19" t="e">
        <f aca="false">SUM(Q44:Q53)</f>
        <v>#REF!</v>
      </c>
      <c r="R55" s="19" t="e">
        <f aca="false">SUM(R44:R53)</f>
        <v>#REF!</v>
      </c>
      <c r="T55" s="19" t="n">
        <f aca="false">SUM(T44:T53)</f>
        <v>0</v>
      </c>
      <c r="U55" s="19" t="n">
        <f aca="false">SUM(U44:U53)</f>
        <v>0</v>
      </c>
      <c r="V55" s="33" t="n">
        <f aca="false">+I55-J55</f>
        <v>-0.503400001674891</v>
      </c>
    </row>
    <row r="56" customFormat="false" ht="13.8" hidden="false" customHeight="false" outlineLevel="0" collapsed="false">
      <c r="B56" s="31"/>
      <c r="C56" s="223" t="s">
        <v>358</v>
      </c>
      <c r="D56" s="59"/>
      <c r="E56" s="59"/>
      <c r="F56" s="59"/>
      <c r="G56" s="218"/>
      <c r="H56" s="218"/>
      <c r="I56" s="18"/>
      <c r="J56" s="18"/>
      <c r="K56" s="18"/>
      <c r="L56" s="18"/>
      <c r="M56" s="18"/>
      <c r="N56" s="18"/>
      <c r="O56" s="6"/>
      <c r="P56" s="6"/>
      <c r="Q56" s="6"/>
      <c r="R56" s="6"/>
      <c r="S56" s="59"/>
      <c r="T56" s="5"/>
      <c r="U56" s="10"/>
    </row>
    <row r="57" customFormat="false" ht="13.8" hidden="false" customHeight="false" outlineLevel="0" collapsed="false">
      <c r="B57" s="184" t="s">
        <v>349</v>
      </c>
      <c r="C57" s="59"/>
      <c r="D57" s="59"/>
      <c r="E57" s="59"/>
      <c r="F57" s="59"/>
      <c r="G57" s="218"/>
      <c r="H57" s="218"/>
      <c r="I57" s="71" t="n">
        <v>0</v>
      </c>
      <c r="J57" s="18"/>
      <c r="K57" s="71" t="n">
        <v>419396</v>
      </c>
      <c r="L57" s="18"/>
      <c r="M57" s="71"/>
      <c r="N57" s="18"/>
      <c r="O57" s="10" t="n">
        <f aca="false">P18*0.22</f>
        <v>1847711.58</v>
      </c>
      <c r="P57" s="10"/>
      <c r="Q57" s="10"/>
      <c r="R57" s="10"/>
      <c r="S57" s="59"/>
      <c r="T57" s="9"/>
      <c r="U57" s="10"/>
    </row>
    <row r="58" customFormat="false" ht="13.8" hidden="false" customHeight="false" outlineLevel="0" collapsed="false">
      <c r="B58" s="184" t="s">
        <v>359</v>
      </c>
      <c r="C58" s="59"/>
      <c r="D58" s="59"/>
      <c r="E58" s="59"/>
      <c r="F58" s="59"/>
      <c r="G58" s="218"/>
      <c r="H58" s="218"/>
      <c r="I58" s="18"/>
      <c r="J58" s="71" t="n">
        <v>0</v>
      </c>
      <c r="K58" s="18"/>
      <c r="L58" s="71" t="n">
        <f aca="false">+K57</f>
        <v>419396</v>
      </c>
      <c r="M58" s="18"/>
      <c r="N58" s="71"/>
      <c r="O58" s="10"/>
      <c r="P58" s="10" t="n">
        <f aca="false">+O57</f>
        <v>1847711.58</v>
      </c>
      <c r="Q58" s="10"/>
      <c r="R58" s="10"/>
      <c r="S58" s="59"/>
      <c r="T58" s="9"/>
      <c r="U58" s="10"/>
    </row>
    <row r="59" customFormat="false" ht="13.8" hidden="false" customHeight="false" outlineLevel="0" collapsed="false">
      <c r="B59" s="31" t="s">
        <v>360</v>
      </c>
      <c r="C59" s="59"/>
      <c r="D59" s="59"/>
      <c r="E59" s="59"/>
      <c r="F59" s="59"/>
      <c r="G59" s="218"/>
      <c r="H59" s="218"/>
      <c r="I59" s="18"/>
      <c r="J59" s="18"/>
      <c r="K59" s="18"/>
      <c r="L59" s="18"/>
      <c r="M59" s="18"/>
      <c r="N59" s="18"/>
      <c r="O59" s="10"/>
      <c r="P59" s="10"/>
      <c r="Q59" s="10"/>
      <c r="R59" s="10"/>
      <c r="S59" s="59"/>
      <c r="T59" s="9"/>
      <c r="U59" s="10"/>
    </row>
    <row r="60" customFormat="false" ht="13.8" hidden="false" customHeight="false" outlineLevel="0" collapsed="false">
      <c r="B60" s="78" t="s">
        <v>361</v>
      </c>
      <c r="C60" s="38"/>
      <c r="D60" s="38"/>
      <c r="E60" s="38"/>
      <c r="F60" s="38"/>
      <c r="G60" s="226"/>
      <c r="H60" s="226"/>
      <c r="I60" s="28"/>
      <c r="J60" s="28"/>
      <c r="K60" s="28"/>
      <c r="L60" s="28"/>
      <c r="M60" s="28"/>
      <c r="N60" s="28"/>
      <c r="O60" s="25"/>
      <c r="P60" s="25"/>
      <c r="Q60" s="25"/>
      <c r="R60" s="25"/>
      <c r="S60" s="59"/>
      <c r="T60" s="24"/>
      <c r="U60" s="25"/>
    </row>
    <row r="61" customFormat="false" ht="13.8" hidden="false" customHeight="false" outlineLevel="0" collapsed="false">
      <c r="B61" s="31"/>
      <c r="C61" s="223" t="s">
        <v>362</v>
      </c>
      <c r="D61" s="59"/>
      <c r="E61" s="59"/>
      <c r="F61" s="59"/>
      <c r="G61" s="218"/>
      <c r="H61" s="218"/>
      <c r="I61" s="18"/>
      <c r="J61" s="18"/>
      <c r="K61" s="18"/>
      <c r="L61" s="18"/>
      <c r="M61" s="18"/>
      <c r="N61" s="18"/>
      <c r="O61" s="6"/>
      <c r="P61" s="6"/>
      <c r="Q61" s="6"/>
      <c r="R61" s="6"/>
      <c r="S61" s="59"/>
      <c r="T61" s="5"/>
      <c r="U61" s="10"/>
    </row>
    <row r="62" customFormat="false" ht="13.8" hidden="false" customHeight="false" outlineLevel="0" collapsed="false">
      <c r="B62" s="184" t="s">
        <v>349</v>
      </c>
      <c r="C62" s="59"/>
      <c r="D62" s="59"/>
      <c r="E62" s="59"/>
      <c r="F62" s="59"/>
      <c r="G62" s="218"/>
      <c r="H62" s="218"/>
      <c r="I62" s="71" t="n">
        <f aca="false">(+J23-J41)*0.25</f>
        <v>-358270.25</v>
      </c>
      <c r="J62" s="18"/>
      <c r="K62" s="71" t="n">
        <f aca="false">(+L23-L41)*0.25</f>
        <v>-974792.5</v>
      </c>
      <c r="L62" s="18"/>
      <c r="M62" s="71" t="n">
        <f aca="false">(-'BG '!T25-P23)*0.22</f>
        <v>591847.415148</v>
      </c>
      <c r="N62" s="18"/>
      <c r="O62" s="10" t="n">
        <f aca="false">P23*0.22</f>
        <v>3486156.52</v>
      </c>
      <c r="P62" s="10"/>
      <c r="Q62" s="10"/>
      <c r="R62" s="10"/>
      <c r="S62" s="59"/>
      <c r="T62" s="9"/>
      <c r="U62" s="10"/>
    </row>
    <row r="63" customFormat="false" ht="13.8" hidden="false" customHeight="false" outlineLevel="0" collapsed="false">
      <c r="B63" s="184" t="s">
        <v>359</v>
      </c>
      <c r="C63" s="59"/>
      <c r="D63" s="59"/>
      <c r="E63" s="59"/>
      <c r="F63" s="59"/>
      <c r="G63" s="218"/>
      <c r="H63" s="218"/>
      <c r="I63" s="18"/>
      <c r="J63" s="71" t="n">
        <f aca="false">+I62</f>
        <v>-358270.25</v>
      </c>
      <c r="K63" s="18"/>
      <c r="L63" s="71" t="n">
        <f aca="false">+K62</f>
        <v>-974792.5</v>
      </c>
      <c r="M63" s="18"/>
      <c r="N63" s="71" t="n">
        <f aca="false">+M62</f>
        <v>591847.415148</v>
      </c>
      <c r="O63" s="10"/>
      <c r="P63" s="10" t="n">
        <f aca="false">+O62</f>
        <v>3486156.52</v>
      </c>
      <c r="Q63" s="10"/>
      <c r="R63" s="10"/>
      <c r="S63" s="59"/>
      <c r="T63" s="9"/>
      <c r="U63" s="10"/>
    </row>
    <row r="64" customFormat="false" ht="13.8" hidden="false" customHeight="false" outlineLevel="0" collapsed="false">
      <c r="B64" s="31" t="s">
        <v>363</v>
      </c>
      <c r="C64" s="59"/>
      <c r="D64" s="59"/>
      <c r="E64" s="59"/>
      <c r="F64" s="59"/>
      <c r="G64" s="218"/>
      <c r="H64" s="218"/>
      <c r="I64" s="18"/>
      <c r="J64" s="18"/>
      <c r="K64" s="18"/>
      <c r="L64" s="18"/>
      <c r="M64" s="18"/>
      <c r="N64" s="18"/>
      <c r="O64" s="10"/>
      <c r="P64" s="10"/>
      <c r="Q64" s="10"/>
      <c r="R64" s="10"/>
      <c r="S64" s="59"/>
      <c r="T64" s="9"/>
      <c r="U64" s="10"/>
    </row>
    <row r="65" customFormat="false" ht="13.8" hidden="false" customHeight="false" outlineLevel="0" collapsed="false">
      <c r="B65" s="31" t="s">
        <v>364</v>
      </c>
      <c r="C65" s="59"/>
      <c r="D65" s="59"/>
      <c r="E65" s="59"/>
      <c r="F65" s="59"/>
      <c r="G65" s="218"/>
      <c r="H65" s="218"/>
      <c r="I65" s="18"/>
      <c r="J65" s="28"/>
      <c r="K65" s="28"/>
      <c r="L65" s="28"/>
      <c r="M65" s="28"/>
      <c r="N65" s="28"/>
      <c r="O65" s="25"/>
      <c r="P65" s="25"/>
      <c r="Q65" s="25"/>
      <c r="R65" s="25"/>
      <c r="S65" s="59"/>
      <c r="T65" s="24"/>
      <c r="U65" s="25"/>
    </row>
    <row r="66" customFormat="false" ht="13.8" hidden="false" customHeight="false" outlineLevel="0" collapsed="false">
      <c r="B66" s="78"/>
      <c r="C66" s="38"/>
      <c r="D66" s="38"/>
      <c r="E66" s="38"/>
      <c r="F66" s="38" t="s">
        <v>319</v>
      </c>
      <c r="G66" s="219"/>
      <c r="H66" s="219"/>
      <c r="I66" s="219"/>
      <c r="J66" s="28"/>
      <c r="K66" s="227" t="n">
        <f aca="false">SUM(K62:K65)</f>
        <v>-974792.5</v>
      </c>
      <c r="L66" s="227" t="n">
        <f aca="false">SUM(L62:L65)</f>
        <v>-974792.5</v>
      </c>
      <c r="M66" s="28"/>
      <c r="N66" s="28"/>
      <c r="O66" s="25"/>
      <c r="P66" s="25"/>
      <c r="Q66" s="25"/>
      <c r="R66" s="25"/>
      <c r="S66" s="59"/>
      <c r="T66" s="24"/>
      <c r="U66" s="25"/>
    </row>
    <row r="67" customFormat="false" ht="13.8" hidden="false" customHeight="false" outlineLevel="0" collapsed="false">
      <c r="B67" s="52"/>
      <c r="C67" s="52"/>
      <c r="D67" s="52"/>
      <c r="E67" s="52"/>
      <c r="F67" s="54" t="s">
        <v>365</v>
      </c>
      <c r="G67" s="219"/>
      <c r="H67" s="219"/>
      <c r="I67" s="180" t="n">
        <f aca="false">+I11+I20+I27+I38+I55+I43+I62</f>
        <v>161788426.185148</v>
      </c>
      <c r="J67" s="183" t="n">
        <f aca="false">+J11+J20+J27+J38+J55+J43+J63</f>
        <v>161788426.688548</v>
      </c>
      <c r="K67" s="183" t="n">
        <f aca="false">+K11+K20+K27+K38+K55+K43+K62</f>
        <v>124036288.438548</v>
      </c>
      <c r="L67" s="183" t="n">
        <f aca="false">+L11+L20+L27+L38+L55+L43+L63</f>
        <v>124036288.438548</v>
      </c>
      <c r="M67" s="19" t="n">
        <f aca="false">+M11+M20+M27+M38+M55+M43+M62</f>
        <v>95126716.415148</v>
      </c>
      <c r="N67" s="19" t="n">
        <f aca="false">+N11+N20+N27+N38+N55+N43+N63</f>
        <v>95126716.415148</v>
      </c>
      <c r="O67" s="19" t="e">
        <f aca="false">+O11+O20+O27+O38+O55+O43+O62</f>
        <v>#REF!</v>
      </c>
      <c r="P67" s="19" t="n">
        <f aca="false">+P11+P20+P27+P38+P55+P43+P63</f>
        <v>73263238.9966</v>
      </c>
      <c r="Q67" s="19" t="e">
        <f aca="false">+Q11+Q20+Q27+Q38+Q55+Q43</f>
        <v>#REF!</v>
      </c>
      <c r="R67" s="19" t="e">
        <f aca="false">+R11+R20+R27+R38+R55+R43</f>
        <v>#REF!</v>
      </c>
      <c r="S67" s="2"/>
      <c r="T67" s="228" t="n">
        <f aca="false">+T11+T20+T27+T38</f>
        <v>17692260</v>
      </c>
      <c r="U67" s="25" t="n">
        <f aca="false">+U11+U20+U27+U38</f>
        <v>18582456</v>
      </c>
    </row>
    <row r="68" customFormat="false" ht="13.8" hidden="false" customHeight="false" outlineLevel="0" collapsed="false">
      <c r="O68" s="33"/>
    </row>
    <row r="69" customFormat="false" ht="13.8" hidden="true" customHeight="false" outlineLevel="0" collapsed="false">
      <c r="B69" s="66" t="s">
        <v>366</v>
      </c>
      <c r="C69" s="52"/>
      <c r="D69" s="52"/>
      <c r="E69" s="52"/>
      <c r="F69" s="52"/>
      <c r="G69" s="52"/>
      <c r="H69" s="52"/>
      <c r="I69" s="52"/>
      <c r="J69" s="52"/>
      <c r="K69" s="52"/>
      <c r="L69" s="52"/>
      <c r="M69" s="52"/>
      <c r="N69" s="52"/>
      <c r="O69" s="48" t="e">
        <f aca="false">+O17+O33+O45</f>
        <v>#REF!</v>
      </c>
      <c r="P69" s="52"/>
      <c r="Q69" s="48" t="e">
        <f aca="false">+PAT!I114+Q45</f>
        <v>#REF!</v>
      </c>
      <c r="R69" s="54"/>
      <c r="T69" s="229" t="e">
        <f aca="false">+#REF!-U8-U34</f>
        <v>#REF!</v>
      </c>
      <c r="U69" s="54"/>
    </row>
    <row r="70" customFormat="false" ht="13.8" hidden="true" customHeight="false" outlineLevel="0" collapsed="false">
      <c r="B70" s="31" t="s">
        <v>367</v>
      </c>
      <c r="C70" s="59"/>
      <c r="D70" s="59"/>
      <c r="E70" s="59"/>
      <c r="F70" s="59"/>
      <c r="G70" s="59"/>
      <c r="H70" s="59"/>
      <c r="I70" s="59"/>
      <c r="J70" s="59"/>
      <c r="K70" s="59"/>
      <c r="L70" s="59"/>
      <c r="M70" s="59"/>
      <c r="N70" s="59"/>
      <c r="O70" s="50" t="e">
        <f aca="false">+#REF!-P34</f>
        <v>#REF!</v>
      </c>
      <c r="P70" s="59"/>
      <c r="Q70" s="50" t="e">
        <f aca="false">+Q8+#REF!+Q34</f>
        <v>#REF!</v>
      </c>
      <c r="R70" s="55"/>
      <c r="T70" s="31"/>
      <c r="U70" s="55"/>
    </row>
    <row r="71" customFormat="false" ht="13.8" hidden="true" customHeight="false" outlineLevel="0" collapsed="false">
      <c r="B71" s="230" t="s">
        <v>368</v>
      </c>
      <c r="C71" s="63"/>
      <c r="D71" s="63"/>
      <c r="E71" s="63"/>
      <c r="F71" s="63"/>
      <c r="G71" s="63"/>
      <c r="H71" s="63"/>
      <c r="I71" s="63"/>
      <c r="J71" s="63"/>
      <c r="K71" s="63"/>
      <c r="L71" s="63"/>
      <c r="M71" s="63"/>
      <c r="N71" s="63"/>
      <c r="O71" s="231" t="e">
        <f aca="false">+O69+O70</f>
        <v>#REF!</v>
      </c>
      <c r="P71" s="63"/>
      <c r="Q71" s="231" t="e">
        <f aca="false">+Q69+Q70</f>
        <v>#REF!</v>
      </c>
      <c r="R71" s="64"/>
      <c r="T71" s="232" t="e">
        <f aca="false">+T69+T70</f>
        <v>#REF!</v>
      </c>
      <c r="U71" s="64"/>
    </row>
    <row r="72" customFormat="false" ht="13.8" hidden="false" customHeight="false" outlineLevel="0" collapsed="false">
      <c r="B72" s="59"/>
      <c r="C72" s="59"/>
      <c r="D72" s="59"/>
      <c r="E72" s="59"/>
      <c r="F72" s="59"/>
      <c r="G72" s="59"/>
      <c r="H72" s="59"/>
      <c r="I72" s="59"/>
      <c r="J72" s="59"/>
      <c r="K72" s="59"/>
      <c r="L72" s="59"/>
      <c r="M72" s="59"/>
      <c r="N72" s="59"/>
      <c r="O72" s="50"/>
      <c r="P72" s="59"/>
      <c r="Q72" s="50"/>
      <c r="R72" s="59"/>
      <c r="T72" s="50"/>
      <c r="U72" s="59"/>
    </row>
    <row r="73" customFormat="false" ht="13.8" hidden="false" customHeight="false" outlineLevel="0" collapsed="false">
      <c r="K73" s="33"/>
    </row>
    <row r="74" customFormat="false" ht="13.8" hidden="false" customHeight="false" outlineLevel="0" collapsed="false">
      <c r="O74" s="59"/>
      <c r="P74" s="59"/>
    </row>
    <row r="75" customFormat="false" ht="13.8" hidden="false" customHeight="false" outlineLevel="0" collapsed="false">
      <c r="F75" s="233" t="s">
        <v>77</v>
      </c>
      <c r="G75" s="233"/>
      <c r="H75" s="233"/>
      <c r="I75" s="233"/>
      <c r="J75" s="233"/>
      <c r="K75" s="233"/>
      <c r="L75" s="233"/>
      <c r="M75" s="233"/>
      <c r="N75" s="233"/>
      <c r="O75" s="59"/>
      <c r="P75" s="59"/>
    </row>
    <row r="76" customFormat="false" ht="13.8" hidden="false" customHeight="false" outlineLevel="0" collapsed="false">
      <c r="F76" s="234" t="s">
        <v>78</v>
      </c>
      <c r="G76" s="234"/>
      <c r="H76" s="234"/>
      <c r="I76" s="234"/>
      <c r="J76" s="234"/>
      <c r="K76" s="234"/>
      <c r="L76" s="234"/>
      <c r="M76" s="234"/>
      <c r="N76" s="234"/>
    </row>
  </sheetData>
  <mergeCells count="10">
    <mergeCell ref="G4:H4"/>
    <mergeCell ref="I4:J4"/>
    <mergeCell ref="K4:L4"/>
    <mergeCell ref="M4:N4"/>
    <mergeCell ref="O4:P4"/>
    <mergeCell ref="Q4:R4"/>
    <mergeCell ref="T4:U4"/>
    <mergeCell ref="B42:F42"/>
    <mergeCell ref="F75:N75"/>
    <mergeCell ref="F76:N76"/>
  </mergeCells>
  <printOptions headings="false" gridLines="false" gridLinesSet="true" horizontalCentered="false" verticalCentered="false"/>
  <pageMargins left="0.7" right="0.7" top="0.75" bottom="0.75" header="0.511805555555555" footer="0.511805555555555"/>
  <pageSetup paperSize="1"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7E6E6"/>
    <pageSetUpPr fitToPage="false"/>
  </sheetPr>
  <dimension ref="A1:M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H20" activeCellId="0" sqref="H20"/>
    </sheetView>
  </sheetViews>
  <sheetFormatPr defaultColWidth="9.2109375" defaultRowHeight="15" zeroHeight="false" outlineLevelRow="0" outlineLevelCol="0"/>
  <cols>
    <col collapsed="false" customWidth="true" hidden="false" outlineLevel="0" max="1" min="1" style="0" width="3.86"/>
    <col collapsed="false" customWidth="true" hidden="false" outlineLevel="0" max="5" min="5" style="0" width="12.29"/>
    <col collapsed="false" customWidth="true" hidden="false" outlineLevel="0" max="6" min="6" style="0" width="12.71"/>
    <col collapsed="false" customWidth="true" hidden="false" outlineLevel="0" max="9" min="7" style="0" width="12.29"/>
    <col collapsed="false" customWidth="true" hidden="true" outlineLevel="0" max="10" min="10" style="0" width="13.29"/>
    <col collapsed="false" customWidth="true" hidden="true" outlineLevel="0" max="11" min="11" style="0" width="12.29"/>
    <col collapsed="false" customWidth="true" hidden="false" outlineLevel="0" max="12" min="12" style="0" width="3.3"/>
    <col collapsed="false" customWidth="true" hidden="false" outlineLevel="0" max="13" min="13" style="0" width="78.71"/>
  </cols>
  <sheetData>
    <row r="1" customFormat="false" ht="15" hidden="false" customHeight="false" outlineLevel="0" collapsed="false">
      <c r="A1" s="3" t="s">
        <v>369</v>
      </c>
    </row>
    <row r="2" customFormat="false" ht="15" hidden="false" customHeight="false" outlineLevel="0" collapsed="false">
      <c r="A2" s="4" t="s">
        <v>370</v>
      </c>
    </row>
    <row r="3" customFormat="false" ht="15" hidden="false" customHeight="false" outlineLevel="0" collapsed="false">
      <c r="A3" s="4" t="s">
        <v>371</v>
      </c>
    </row>
    <row r="5" customFormat="false" ht="15" hidden="false" customHeight="false" outlineLevel="0" collapsed="false">
      <c r="B5" s="66"/>
      <c r="C5" s="52"/>
      <c r="D5" s="52"/>
      <c r="E5" s="52"/>
      <c r="F5" s="52"/>
      <c r="G5" s="52"/>
      <c r="H5" s="235" t="n">
        <v>2019</v>
      </c>
      <c r="I5" s="235" t="n">
        <v>2018</v>
      </c>
      <c r="J5" s="235" t="n">
        <v>2017</v>
      </c>
      <c r="K5" s="235" t="n">
        <v>2016</v>
      </c>
      <c r="M5" s="214" t="s">
        <v>372</v>
      </c>
    </row>
    <row r="6" customFormat="false" ht="15" hidden="false" customHeight="false" outlineLevel="0" collapsed="false">
      <c r="B6" s="31" t="s">
        <v>373</v>
      </c>
      <c r="C6" s="46"/>
      <c r="D6" s="46"/>
      <c r="E6" s="46"/>
      <c r="F6" s="46"/>
      <c r="G6" s="46"/>
      <c r="H6" s="18"/>
      <c r="I6" s="18"/>
      <c r="J6" s="18"/>
      <c r="K6" s="18"/>
      <c r="M6" s="17"/>
    </row>
    <row r="7" customFormat="false" ht="15" hidden="false" customHeight="false" outlineLevel="0" collapsed="false">
      <c r="B7" s="31" t="s">
        <v>374</v>
      </c>
      <c r="C7" s="46"/>
      <c r="D7" s="46"/>
      <c r="E7" s="46"/>
      <c r="F7" s="46"/>
      <c r="G7" s="46"/>
      <c r="H7" s="10" t="n">
        <f aca="false">-AD!J23</f>
        <v>-8203260</v>
      </c>
      <c r="I7" s="10" t="n">
        <f aca="false">-AD!L23</f>
        <v>-5827272</v>
      </c>
      <c r="J7" s="10" t="n">
        <f aca="false">-AD!N23</f>
        <v>-7144181</v>
      </c>
      <c r="K7" s="10" t="n">
        <f aca="false">-AD!P23</f>
        <v>-15846166</v>
      </c>
      <c r="M7" s="18" t="s">
        <v>375</v>
      </c>
    </row>
    <row r="8" customFormat="false" ht="15" hidden="false" customHeight="false" outlineLevel="0" collapsed="false">
      <c r="B8" s="31" t="s">
        <v>376</v>
      </c>
      <c r="C8" s="46"/>
      <c r="D8" s="46"/>
      <c r="E8" s="46"/>
      <c r="F8" s="46"/>
      <c r="G8" s="46"/>
      <c r="H8" s="10" t="n">
        <f aca="false">+AD!J41</f>
        <v>9636341</v>
      </c>
      <c r="I8" s="10" t="n">
        <f aca="false">+AD!L41</f>
        <v>9726442</v>
      </c>
      <c r="J8" s="10" t="n">
        <f aca="false">+AD!N41</f>
        <v>8402210</v>
      </c>
      <c r="K8" s="10" t="n">
        <f aca="false">+AD!P41</f>
        <v>3922517.4766</v>
      </c>
      <c r="M8" s="18" t="s">
        <v>377</v>
      </c>
    </row>
    <row r="9" customFormat="false" ht="15" hidden="false" customHeight="false" outlineLevel="0" collapsed="false">
      <c r="B9" s="31" t="s">
        <v>378</v>
      </c>
      <c r="C9" s="46"/>
      <c r="D9" s="46"/>
      <c r="E9" s="46"/>
      <c r="F9" s="46"/>
      <c r="G9" s="46"/>
      <c r="H9" s="10" t="n">
        <f aca="false">+AD!J63</f>
        <v>-358270.25</v>
      </c>
      <c r="I9" s="10" t="n">
        <f aca="false">+ER!M35</f>
        <v>-358270.25</v>
      </c>
      <c r="J9" s="10" t="n">
        <f aca="false">+AD!N63</f>
        <v>591847.415148</v>
      </c>
      <c r="K9" s="10" t="n">
        <f aca="false">+AD!P63</f>
        <v>3486156.52</v>
      </c>
      <c r="M9" s="18" t="s">
        <v>379</v>
      </c>
    </row>
    <row r="10" customFormat="false" ht="15" hidden="false" customHeight="false" outlineLevel="0" collapsed="false">
      <c r="B10" s="31" t="s">
        <v>380</v>
      </c>
      <c r="C10" s="46"/>
      <c r="D10" s="46"/>
      <c r="E10" s="46"/>
      <c r="F10" s="46"/>
      <c r="G10" s="46"/>
      <c r="H10" s="10" t="n">
        <f aca="false">+ER!G28</f>
        <v>0</v>
      </c>
      <c r="I10" s="10"/>
      <c r="J10" s="10"/>
      <c r="K10" s="10"/>
      <c r="M10" s="18" t="s">
        <v>381</v>
      </c>
    </row>
    <row r="11" customFormat="false" ht="15" hidden="false" customHeight="false" outlineLevel="0" collapsed="false">
      <c r="B11" s="74" t="s">
        <v>319</v>
      </c>
      <c r="C11" s="236"/>
      <c r="D11" s="236"/>
      <c r="E11" s="236"/>
      <c r="F11" s="236"/>
      <c r="G11" s="236"/>
      <c r="H11" s="76" t="n">
        <f aca="false">SUM(H7:H10)</f>
        <v>1074810.75</v>
      </c>
      <c r="I11" s="76" t="n">
        <f aca="false">SUM(I7:I10)</f>
        <v>3540899.75</v>
      </c>
      <c r="J11" s="76" t="n">
        <f aca="false">SUM(J7:J10)</f>
        <v>1849876.415148</v>
      </c>
      <c r="K11" s="76" t="n">
        <f aca="false">SUM(K7:K10)</f>
        <v>-8437492.0034</v>
      </c>
      <c r="M11" s="28"/>
    </row>
    <row r="12" customFormat="false" ht="15" hidden="true" customHeight="false" outlineLevel="0" collapsed="false">
      <c r="I12" s="2"/>
      <c r="J12" s="2"/>
      <c r="K12" s="2"/>
    </row>
    <row r="13" customFormat="false" ht="15" hidden="true" customHeight="false" outlineLevel="0" collapsed="false">
      <c r="B13" s="66" t="s">
        <v>382</v>
      </c>
      <c r="C13" s="52"/>
      <c r="D13" s="52"/>
      <c r="E13" s="52"/>
      <c r="F13" s="52"/>
      <c r="G13" s="52"/>
      <c r="H13" s="52"/>
      <c r="I13" s="6"/>
      <c r="J13" s="6"/>
      <c r="K13" s="6"/>
      <c r="M13" s="188"/>
    </row>
    <row r="14" customFormat="false" ht="15" hidden="true" customHeight="false" outlineLevel="0" collapsed="false">
      <c r="B14" s="31" t="s">
        <v>383</v>
      </c>
      <c r="C14" s="46"/>
      <c r="D14" s="46"/>
      <c r="E14" s="46"/>
      <c r="F14" s="46"/>
      <c r="G14" s="46"/>
      <c r="H14" s="46"/>
      <c r="I14" s="10"/>
      <c r="J14" s="10"/>
      <c r="K14" s="10"/>
      <c r="M14" s="188"/>
    </row>
    <row r="15" s="237" customFormat="true" ht="15" hidden="true" customHeight="false" outlineLevel="0" collapsed="false">
      <c r="B15" s="238"/>
      <c r="C15" s="239" t="s">
        <v>384</v>
      </c>
      <c r="D15" s="239"/>
      <c r="E15" s="239"/>
      <c r="F15" s="239"/>
      <c r="G15" s="239"/>
      <c r="H15" s="239"/>
      <c r="I15" s="72"/>
      <c r="J15" s="72" t="n">
        <f aca="false">+AD!M22</f>
        <v>51723340</v>
      </c>
      <c r="K15" s="72" t="n">
        <v>48803746</v>
      </c>
      <c r="M15" s="240" t="s">
        <v>385</v>
      </c>
    </row>
    <row r="16" customFormat="false" ht="15" hidden="true" customHeight="false" outlineLevel="0" collapsed="false">
      <c r="B16" s="31" t="s">
        <v>386</v>
      </c>
      <c r="C16" s="46"/>
      <c r="D16" s="46"/>
      <c r="E16" s="46"/>
      <c r="F16" s="46"/>
      <c r="G16" s="46"/>
      <c r="H16" s="46"/>
      <c r="I16" s="10"/>
      <c r="J16" s="10"/>
      <c r="K16" s="10"/>
      <c r="M16" s="188"/>
    </row>
    <row r="17" customFormat="false" ht="15" hidden="true" customHeight="false" outlineLevel="0" collapsed="false">
      <c r="B17" s="31"/>
      <c r="C17" s="46" t="s">
        <v>387</v>
      </c>
      <c r="D17" s="46"/>
      <c r="E17" s="46"/>
      <c r="F17" s="46"/>
      <c r="G17" s="46"/>
      <c r="H17" s="46"/>
      <c r="I17" s="10"/>
      <c r="J17" s="10" t="n">
        <f aca="false">+AD!N23</f>
        <v>7144181</v>
      </c>
      <c r="K17" s="10" t="n">
        <f aca="false">+AD!P23</f>
        <v>15846166</v>
      </c>
      <c r="M17" s="188" t="s">
        <v>388</v>
      </c>
    </row>
    <row r="18" customFormat="false" ht="15" hidden="true" customHeight="false" outlineLevel="0" collapsed="false">
      <c r="B18" s="31"/>
      <c r="C18" s="46" t="s">
        <v>389</v>
      </c>
      <c r="D18" s="46"/>
      <c r="E18" s="46"/>
      <c r="F18" s="46"/>
      <c r="G18" s="46"/>
      <c r="H18" s="46"/>
      <c r="I18" s="10"/>
      <c r="J18" s="10" t="n">
        <f aca="false">+AD!N24</f>
        <v>44579159</v>
      </c>
      <c r="K18" s="10" t="n">
        <f aca="false">+AD!P24</f>
        <v>26625458</v>
      </c>
      <c r="M18" s="188"/>
    </row>
    <row r="19" s="237" customFormat="true" ht="75" hidden="true" customHeight="true" outlineLevel="0" collapsed="false">
      <c r="B19" s="241"/>
      <c r="C19" s="242" t="s">
        <v>390</v>
      </c>
      <c r="D19" s="242"/>
      <c r="E19" s="242"/>
      <c r="F19" s="242"/>
      <c r="G19" s="242"/>
      <c r="H19" s="242"/>
      <c r="I19" s="243"/>
      <c r="J19" s="243" t="n">
        <v>0</v>
      </c>
      <c r="K19" s="243" t="n">
        <f aca="false">+K15-K17-K18</f>
        <v>6332122</v>
      </c>
      <c r="M19" s="244" t="s">
        <v>391</v>
      </c>
    </row>
    <row r="20" customFormat="false" ht="15" hidden="false" customHeight="false" outlineLevel="0" collapsed="false">
      <c r="J20" s="2"/>
      <c r="K20" s="2"/>
    </row>
    <row r="21" customFormat="false" ht="15" hidden="false" customHeight="false" outlineLevel="0" collapsed="false">
      <c r="B21" s="4" t="s">
        <v>392</v>
      </c>
      <c r="J21" s="2"/>
      <c r="K21" s="2"/>
    </row>
    <row r="22" customFormat="false" ht="45" hidden="false" customHeight="false" outlineLevel="0" collapsed="false">
      <c r="B22" s="214" t="s">
        <v>393</v>
      </c>
      <c r="C22" s="214"/>
      <c r="D22" s="214"/>
      <c r="E22" s="245" t="s">
        <v>394</v>
      </c>
      <c r="F22" s="246" t="s">
        <v>395</v>
      </c>
      <c r="G22" s="245" t="s">
        <v>396</v>
      </c>
      <c r="H22" s="245" t="s">
        <v>397</v>
      </c>
      <c r="I22" s="247" t="s">
        <v>398</v>
      </c>
      <c r="K22" s="2"/>
      <c r="M22" s="17"/>
    </row>
    <row r="23" customFormat="false" ht="15" hidden="false" customHeight="false" outlineLevel="0" collapsed="false">
      <c r="B23" s="248" t="n">
        <v>2015</v>
      </c>
      <c r="C23" s="249"/>
      <c r="D23" s="250"/>
      <c r="E23" s="251" t="n">
        <f aca="false">-AD!P53</f>
        <v>-7213414</v>
      </c>
      <c r="F23" s="252"/>
      <c r="G23" s="253" t="n">
        <f aca="false">+E23+F23</f>
        <v>-7213414</v>
      </c>
      <c r="H23" s="254" t="n">
        <v>0</v>
      </c>
      <c r="I23" s="251" t="n">
        <f aca="false">+G23+H23</f>
        <v>-7213414</v>
      </c>
      <c r="K23" s="2"/>
      <c r="M23" s="18"/>
    </row>
    <row r="24" customFormat="false" ht="15" hidden="false" customHeight="false" outlineLevel="0" collapsed="false">
      <c r="B24" s="31" t="n">
        <v>2016</v>
      </c>
      <c r="C24" s="46"/>
      <c r="D24" s="55"/>
      <c r="E24" s="71" t="n">
        <f aca="false">+K7</f>
        <v>-15846166</v>
      </c>
      <c r="F24" s="71" t="n">
        <f aca="false">+K8</f>
        <v>3922517.4766</v>
      </c>
      <c r="G24" s="71" t="n">
        <f aca="false">+E24+F24</f>
        <v>-11923648.5234</v>
      </c>
      <c r="H24" s="71" t="n">
        <f aca="false">+K9</f>
        <v>3486156.52</v>
      </c>
      <c r="I24" s="10" t="n">
        <f aca="false">+G24+H24</f>
        <v>-8437492.0034</v>
      </c>
      <c r="J24" s="255"/>
      <c r="K24" s="2"/>
      <c r="M24" s="18" t="s">
        <v>399</v>
      </c>
    </row>
    <row r="25" customFormat="false" ht="15" hidden="false" customHeight="false" outlineLevel="0" collapsed="false">
      <c r="B25" s="31" t="n">
        <v>2017</v>
      </c>
      <c r="C25" s="46"/>
      <c r="D25" s="55"/>
      <c r="E25" s="71" t="n">
        <f aca="false">+J7</f>
        <v>-7144181</v>
      </c>
      <c r="F25" s="71" t="n">
        <f aca="false">+J8</f>
        <v>8402210</v>
      </c>
      <c r="G25" s="71" t="n">
        <f aca="false">+E25+F25</f>
        <v>1258029</v>
      </c>
      <c r="H25" s="71" t="n">
        <f aca="false">+J9</f>
        <v>591847.415148</v>
      </c>
      <c r="I25" s="10" t="n">
        <f aca="false">+G25+H25</f>
        <v>1849876.415148</v>
      </c>
      <c r="J25" s="255"/>
      <c r="K25" s="2"/>
      <c r="M25" s="18" t="s">
        <v>400</v>
      </c>
    </row>
    <row r="26" customFormat="false" ht="15" hidden="false" customHeight="false" outlineLevel="0" collapsed="false">
      <c r="B26" s="31" t="n">
        <v>2018</v>
      </c>
      <c r="E26" s="71" t="n">
        <f aca="false">+I7</f>
        <v>-5827272</v>
      </c>
      <c r="F26" s="71" t="n">
        <f aca="false">+I8</f>
        <v>9726442</v>
      </c>
      <c r="G26" s="71" t="n">
        <f aca="false">+E26+F26</f>
        <v>3899170</v>
      </c>
      <c r="H26" s="71" t="n">
        <f aca="false">+I9</f>
        <v>-358270.25</v>
      </c>
      <c r="I26" s="10" t="n">
        <f aca="false">+G26+H26</f>
        <v>3540899.75</v>
      </c>
      <c r="J26" s="255"/>
      <c r="K26" s="2"/>
      <c r="M26" s="18" t="s">
        <v>401</v>
      </c>
    </row>
    <row r="27" customFormat="false" ht="15" hidden="false" customHeight="false" outlineLevel="0" collapsed="false">
      <c r="B27" s="31" t="n">
        <v>2019</v>
      </c>
      <c r="E27" s="227" t="n">
        <f aca="false">+H7</f>
        <v>-8203260</v>
      </c>
      <c r="F27" s="227" t="n">
        <f aca="false">+H8</f>
        <v>9636341</v>
      </c>
      <c r="G27" s="71" t="n">
        <f aca="false">+E27+F27</f>
        <v>1433081</v>
      </c>
      <c r="H27" s="227" t="n">
        <f aca="false">+H9</f>
        <v>-358270.25</v>
      </c>
      <c r="I27" s="10" t="n">
        <f aca="false">+G27+H27</f>
        <v>1074810.75</v>
      </c>
      <c r="J27" s="255"/>
      <c r="K27" s="2"/>
      <c r="M27" s="18" t="s">
        <v>402</v>
      </c>
    </row>
    <row r="28" customFormat="false" ht="15" hidden="false" customHeight="false" outlineLevel="0" collapsed="false">
      <c r="B28" s="31" t="s">
        <v>403</v>
      </c>
      <c r="C28" s="46"/>
      <c r="D28" s="55"/>
      <c r="E28" s="47" t="n">
        <f aca="false">SUM(E23:E27)</f>
        <v>-44234293</v>
      </c>
      <c r="F28" s="47" t="n">
        <f aca="false">SUM(F23:F27)</f>
        <v>31687510.4766</v>
      </c>
      <c r="G28" s="47" t="n">
        <f aca="false">SUM(G23:G27)</f>
        <v>-12546782.5234</v>
      </c>
      <c r="H28" s="47" t="n">
        <f aca="false">SUM(H23:H27)</f>
        <v>3361463.435148</v>
      </c>
      <c r="I28" s="47" t="n">
        <f aca="false">SUM(I23:I27)</f>
        <v>-9185319.088252</v>
      </c>
      <c r="J28" s="256"/>
      <c r="K28" s="2"/>
      <c r="M28" s="18"/>
    </row>
    <row r="29" customFormat="false" ht="15" hidden="false" customHeight="false" outlineLevel="0" collapsed="false">
      <c r="B29" s="31" t="n">
        <v>2020</v>
      </c>
      <c r="C29" s="46"/>
      <c r="D29" s="55"/>
      <c r="E29" s="18" t="n">
        <v>0</v>
      </c>
      <c r="F29" s="10" t="n">
        <f aca="false">(-E28-F28)/3</f>
        <v>4182260.84113333</v>
      </c>
      <c r="G29" s="71" t="n">
        <f aca="false">+E29+F29</f>
        <v>4182260.84113333</v>
      </c>
      <c r="H29" s="10" t="n">
        <f aca="false">-G29*0.25</f>
        <v>-1045565.21028333</v>
      </c>
      <c r="I29" s="10" t="n">
        <f aca="false">+G29+H29</f>
        <v>3136695.63085</v>
      </c>
      <c r="M29" s="18"/>
    </row>
    <row r="30" customFormat="false" ht="15" hidden="false" customHeight="false" outlineLevel="0" collapsed="false">
      <c r="B30" s="31" t="n">
        <v>2021</v>
      </c>
      <c r="C30" s="46"/>
      <c r="D30" s="55"/>
      <c r="E30" s="18" t="n">
        <v>0</v>
      </c>
      <c r="F30" s="71" t="n">
        <f aca="false">+F29</f>
        <v>4182260.84113333</v>
      </c>
      <c r="G30" s="71" t="n">
        <f aca="false">+E30+F30</f>
        <v>4182260.84113333</v>
      </c>
      <c r="H30" s="10" t="n">
        <f aca="false">-G30*0.25</f>
        <v>-1045565.21028333</v>
      </c>
      <c r="I30" s="10" t="n">
        <f aca="false">+G30+H30</f>
        <v>3136695.63085</v>
      </c>
      <c r="M30" s="18" t="s">
        <v>404</v>
      </c>
    </row>
    <row r="31" customFormat="false" ht="15" hidden="false" customHeight="false" outlineLevel="0" collapsed="false">
      <c r="B31" s="31" t="n">
        <v>2022</v>
      </c>
      <c r="C31" s="46"/>
      <c r="D31" s="55"/>
      <c r="E31" s="18" t="n">
        <v>0</v>
      </c>
      <c r="F31" s="71" t="n">
        <f aca="false">+F30</f>
        <v>4182260.84113333</v>
      </c>
      <c r="G31" s="71" t="n">
        <f aca="false">+E31+F31</f>
        <v>4182260.84113333</v>
      </c>
      <c r="H31" s="10" t="n">
        <f aca="false">-G31*0.25</f>
        <v>-1045565.21028333</v>
      </c>
      <c r="I31" s="10" t="n">
        <f aca="false">+G31+H31</f>
        <v>3136695.63085</v>
      </c>
      <c r="K31" s="2"/>
      <c r="M31" s="28" t="s">
        <v>405</v>
      </c>
    </row>
    <row r="32" customFormat="false" ht="15" hidden="false" customHeight="false" outlineLevel="0" collapsed="false">
      <c r="B32" s="78" t="s">
        <v>18</v>
      </c>
      <c r="C32" s="38"/>
      <c r="D32" s="65"/>
      <c r="E32" s="47" t="n">
        <f aca="false">SUM(E28:E31)</f>
        <v>-44234293</v>
      </c>
      <c r="F32" s="47" t="n">
        <f aca="false">SUM(F29:F31)</f>
        <v>12546782.5234</v>
      </c>
      <c r="G32" s="47" t="n">
        <f aca="false">SUM(G28:G31)</f>
        <v>0</v>
      </c>
      <c r="H32" s="47" t="n">
        <f aca="false">SUM(H28:H31)</f>
        <v>224767.80429801</v>
      </c>
      <c r="I32" s="47" t="n">
        <f aca="false">SUM(I28:I31)</f>
        <v>224767.804297999</v>
      </c>
    </row>
  </sheetData>
  <mergeCells count="2">
    <mergeCell ref="C19:H19"/>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9"/>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F34" activeCellId="0" sqref="F34"/>
    </sheetView>
  </sheetViews>
  <sheetFormatPr defaultColWidth="11.48828125" defaultRowHeight="15" zeroHeight="false" outlineLevelRow="0" outlineLevelCol="0"/>
  <cols>
    <col collapsed="false" customWidth="true" hidden="false" outlineLevel="0" max="1" min="1" style="0" width="2.71"/>
    <col collapsed="false" customWidth="true" hidden="false" outlineLevel="0" max="6" min="6" style="0" width="11.57"/>
    <col collapsed="false" customWidth="true" hidden="false" outlineLevel="0" max="8" min="7" style="0" width="12.29"/>
    <col collapsed="false" customWidth="true" hidden="false" outlineLevel="0" max="9" min="9" style="0" width="11.3"/>
    <col collapsed="false" customWidth="true" hidden="false" outlineLevel="0" max="10" min="10" style="0" width="12.71"/>
    <col collapsed="false" customWidth="true" hidden="false" outlineLevel="0" max="11" min="11" style="0" width="13.7"/>
  </cols>
  <sheetData>
    <row r="1" customFormat="false" ht="15" hidden="false" customHeight="false" outlineLevel="0" collapsed="false">
      <c r="A1" s="3" t="s">
        <v>369</v>
      </c>
    </row>
    <row r="2" customFormat="false" ht="15" hidden="false" customHeight="false" outlineLevel="0" collapsed="false">
      <c r="A2" s="4" t="s">
        <v>406</v>
      </c>
    </row>
    <row r="3" customFormat="false" ht="15" hidden="false" customHeight="false" outlineLevel="0" collapsed="false">
      <c r="A3" s="4" t="s">
        <v>13</v>
      </c>
    </row>
    <row r="5" customFormat="false" ht="15" hidden="false" customHeight="false" outlineLevel="0" collapsed="false">
      <c r="A5" s="4" t="s">
        <v>407</v>
      </c>
      <c r="F5" s="257" t="n">
        <v>2019</v>
      </c>
      <c r="G5" s="257" t="n">
        <v>2018</v>
      </c>
      <c r="H5" s="257" t="n">
        <v>2017</v>
      </c>
      <c r="I5" s="257" t="n">
        <v>2016</v>
      </c>
      <c r="J5" s="257" t="n">
        <v>2015</v>
      </c>
      <c r="K5" s="257" t="n">
        <v>2014</v>
      </c>
    </row>
    <row r="7" customFormat="false" ht="15" hidden="false" customHeight="false" outlineLevel="0" collapsed="false">
      <c r="B7" s="0" t="s">
        <v>408</v>
      </c>
    </row>
    <row r="9" customFormat="false" ht="15" hidden="false" customHeight="false" outlineLevel="0" collapsed="false">
      <c r="B9" s="0" t="s">
        <v>409</v>
      </c>
      <c r="F9" s="2" t="n">
        <f aca="false">+ER!H32</f>
        <v>51120780</v>
      </c>
      <c r="G9" s="2" t="n">
        <f aca="false">+ER!N32</f>
        <v>39916747</v>
      </c>
      <c r="H9" s="2" t="n">
        <f aca="false">+ER!T32</f>
        <v>13532502</v>
      </c>
      <c r="I9" s="2" t="n">
        <v>2715230.47659999</v>
      </c>
      <c r="J9" s="2" t="n">
        <v>9506438</v>
      </c>
      <c r="K9" s="2" t="n">
        <v>26251046</v>
      </c>
    </row>
    <row r="10" customFormat="false" ht="15" hidden="false" customHeight="false" outlineLevel="0" collapsed="false">
      <c r="B10" s="8" t="s">
        <v>410</v>
      </c>
      <c r="C10" s="8"/>
      <c r="D10" s="8"/>
      <c r="E10" s="8"/>
      <c r="F10" s="2" t="n">
        <f aca="false">-ER!H31</f>
        <v>674385</v>
      </c>
      <c r="G10" s="2" t="n">
        <v>3489748</v>
      </c>
      <c r="H10" s="2" t="n">
        <v>5632050</v>
      </c>
      <c r="I10" s="2" t="n">
        <v>5000570</v>
      </c>
      <c r="J10" s="2" t="n">
        <v>4403000</v>
      </c>
      <c r="K10" s="2" t="n">
        <v>4144396</v>
      </c>
    </row>
    <row r="11" customFormat="false" ht="17.25" hidden="false" customHeight="false" outlineLevel="0" collapsed="false">
      <c r="B11" s="8" t="s">
        <v>411</v>
      </c>
      <c r="F11" s="258" t="n">
        <f aca="false">+EFE!I12+EFE!I13+EFE!I14+EFE!I16</f>
        <v>33282575</v>
      </c>
      <c r="G11" s="258" t="n">
        <f aca="false">19410412+1818050</f>
        <v>21228462</v>
      </c>
      <c r="H11" s="258" t="n">
        <f aca="false">+EFE!U12+EFE!U16</f>
        <v>19495936</v>
      </c>
      <c r="I11" s="258" t="n">
        <v>20363773.5234</v>
      </c>
      <c r="J11" s="258" t="n">
        <v>19601882</v>
      </c>
      <c r="K11" s="258" t="n">
        <v>15975450</v>
      </c>
    </row>
    <row r="12" customFormat="false" ht="15" hidden="false" customHeight="false" outlineLevel="0" collapsed="false">
      <c r="B12" s="0" t="s">
        <v>412</v>
      </c>
      <c r="F12" s="2" t="n">
        <f aca="false">SUM(F9:F11)</f>
        <v>85077740</v>
      </c>
      <c r="G12" s="2" t="n">
        <f aca="false">SUM(G9:G11)</f>
        <v>64634957</v>
      </c>
      <c r="H12" s="2" t="n">
        <f aca="false">SUM(H9:H11)</f>
        <v>38660488</v>
      </c>
      <c r="I12" s="2" t="n">
        <f aca="false">SUM(I9:I11)</f>
        <v>28079574</v>
      </c>
      <c r="J12" s="2" t="n">
        <v>33511320</v>
      </c>
      <c r="K12" s="2" t="n">
        <f aca="false">SUM(K9:K11)</f>
        <v>46370892</v>
      </c>
    </row>
    <row r="13" customFormat="false" ht="15" hidden="false" customHeight="false" outlineLevel="0" collapsed="false">
      <c r="H13" s="2"/>
      <c r="I13" s="2"/>
      <c r="J13" s="2"/>
      <c r="K13" s="2"/>
    </row>
    <row r="14" customFormat="false" ht="15" hidden="false" customHeight="false" outlineLevel="0" collapsed="false">
      <c r="B14" s="0" t="s">
        <v>413</v>
      </c>
      <c r="F14" s="2" t="n">
        <f aca="false">-ER!H31</f>
        <v>674385</v>
      </c>
      <c r="G14" s="2" t="n">
        <f aca="false">-ER!N31</f>
        <v>2981098</v>
      </c>
      <c r="H14" s="2" t="n">
        <f aca="false">-ER!T31</f>
        <v>5632050</v>
      </c>
      <c r="I14" s="2" t="n">
        <v>4974980</v>
      </c>
      <c r="J14" s="2" t="n">
        <v>4323391</v>
      </c>
      <c r="K14" s="2" t="n">
        <v>4407118</v>
      </c>
    </row>
    <row r="15" customFormat="false" ht="15" hidden="false" customHeight="false" outlineLevel="0" collapsed="false">
      <c r="J15" s="2"/>
      <c r="K15" s="2"/>
    </row>
    <row r="16" customFormat="false" ht="15" hidden="false" customHeight="false" outlineLevel="0" collapsed="false">
      <c r="B16" s="0" t="s">
        <v>407</v>
      </c>
      <c r="F16" s="259" t="n">
        <f aca="false">+F12/F14</f>
        <v>126.156038464675</v>
      </c>
      <c r="G16" s="259" t="n">
        <f aca="false">+G12/G14</f>
        <v>21.6815941642978</v>
      </c>
      <c r="H16" s="260" t="n">
        <f aca="false">+H12/H14</f>
        <v>6.86437229783116</v>
      </c>
      <c r="I16" s="260" t="n">
        <f aca="false">+I12/I14</f>
        <v>5.64415816747002</v>
      </c>
      <c r="J16" s="260" t="n">
        <v>7.75116569378065</v>
      </c>
      <c r="K16" s="260" t="n">
        <f aca="false">+K12/K14</f>
        <v>10.5218176595226</v>
      </c>
    </row>
    <row r="17" customFormat="false" ht="15" hidden="false" customHeight="false" outlineLevel="0" collapsed="false">
      <c r="J17" s="2"/>
      <c r="K17" s="2"/>
    </row>
    <row r="18" customFormat="false" ht="15" hidden="false" customHeight="false" outlineLevel="0" collapsed="false">
      <c r="A18" s="4" t="s">
        <v>414</v>
      </c>
      <c r="J18" s="2"/>
      <c r="K18" s="2"/>
    </row>
    <row r="19" customFormat="false" ht="15" hidden="false" customHeight="false" outlineLevel="0" collapsed="false">
      <c r="J19" s="2"/>
      <c r="K19" s="2"/>
    </row>
    <row r="20" customFormat="false" ht="15" hidden="false" customHeight="false" outlineLevel="0" collapsed="false">
      <c r="B20" s="0" t="s">
        <v>415</v>
      </c>
      <c r="F20" s="2" t="n">
        <f aca="false">+ER!H29</f>
        <v>51795165</v>
      </c>
      <c r="G20" s="2" t="n">
        <f aca="false">+ER!N29</f>
        <v>42897845</v>
      </c>
      <c r="H20" s="2" t="n">
        <f aca="false">+ER!T29</f>
        <v>19164552</v>
      </c>
      <c r="I20" s="2" t="n">
        <v>7690210.47659999</v>
      </c>
      <c r="J20" s="2" t="n">
        <v>13829829</v>
      </c>
      <c r="K20" s="2" t="n">
        <f aca="false">+ER!T29</f>
        <v>19164552</v>
      </c>
    </row>
    <row r="21" customFormat="false" ht="15" hidden="false" customHeight="false" outlineLevel="0" collapsed="false">
      <c r="J21" s="2"/>
      <c r="K21" s="2"/>
    </row>
    <row r="22" customFormat="false" ht="15" hidden="false" customHeight="false" outlineLevel="0" collapsed="false">
      <c r="B22" s="0" t="s">
        <v>416</v>
      </c>
      <c r="J22" s="2"/>
      <c r="K22" s="2"/>
    </row>
    <row r="23" customFormat="false" ht="15" hidden="false" customHeight="false" outlineLevel="0" collapsed="false">
      <c r="B23" s="0" t="s">
        <v>417</v>
      </c>
      <c r="F23" s="2" t="n">
        <f aca="false">+'BG '!I39+'BG '!I40-54803</f>
        <v>4374830</v>
      </c>
      <c r="G23" s="2" t="n">
        <f aca="false">+'BG '!O39+'BG '!O40</f>
        <v>7593103</v>
      </c>
      <c r="H23" s="2" t="n">
        <f aca="false">+'BG '!U39</f>
        <v>27144668</v>
      </c>
      <c r="I23" s="2" t="n">
        <v>35009000</v>
      </c>
      <c r="J23" s="2" t="n">
        <v>27571049</v>
      </c>
      <c r="K23" s="2" t="n">
        <v>24027809</v>
      </c>
    </row>
    <row r="24" customFormat="false" ht="17.25" hidden="false" customHeight="false" outlineLevel="0" collapsed="false">
      <c r="B24" s="8" t="s">
        <v>418</v>
      </c>
      <c r="C24" s="8"/>
      <c r="F24" s="258" t="n">
        <v>54803</v>
      </c>
      <c r="G24" s="258" t="n">
        <v>241620</v>
      </c>
      <c r="H24" s="258" t="n">
        <v>474206</v>
      </c>
      <c r="I24" s="258" t="n">
        <v>468655.790862364</v>
      </c>
      <c r="J24" s="258" t="n">
        <v>369086</v>
      </c>
      <c r="K24" s="258" t="n">
        <v>259746</v>
      </c>
    </row>
    <row r="25" customFormat="false" ht="15" hidden="false" customHeight="false" outlineLevel="0" collapsed="false">
      <c r="B25" s="0" t="s">
        <v>419</v>
      </c>
      <c r="F25" s="2" t="n">
        <f aca="false">+F23+F24</f>
        <v>4429633</v>
      </c>
      <c r="G25" s="2" t="n">
        <f aca="false">+G23+G24</f>
        <v>7834723</v>
      </c>
      <c r="H25" s="2" t="n">
        <f aca="false">+H23+H24</f>
        <v>27618874</v>
      </c>
      <c r="I25" s="2" t="n">
        <f aca="false">+I23+I24</f>
        <v>35477655.7908624</v>
      </c>
      <c r="J25" s="2" t="n">
        <v>27940135</v>
      </c>
      <c r="K25" s="2" t="n">
        <f aca="false">+K23+K24</f>
        <v>24287555</v>
      </c>
    </row>
    <row r="26" customFormat="false" ht="15" hidden="false" customHeight="false" outlineLevel="0" collapsed="false">
      <c r="J26" s="2"/>
      <c r="K26" s="2"/>
    </row>
    <row r="27" customFormat="false" ht="15" hidden="false" customHeight="false" outlineLevel="0" collapsed="false">
      <c r="B27" s="0" t="s">
        <v>420</v>
      </c>
      <c r="F27" s="260" t="n">
        <f aca="false">+F20/F25</f>
        <v>11.6928795229763</v>
      </c>
      <c r="G27" s="260" t="n">
        <f aca="false">+G20/G25</f>
        <v>5.47534928803482</v>
      </c>
      <c r="H27" s="260" t="n">
        <f aca="false">+H20/H25</f>
        <v>0.693893313681072</v>
      </c>
      <c r="I27" s="260" t="n">
        <f aca="false">+I20/I25</f>
        <v>0.216762080390348</v>
      </c>
      <c r="J27" s="260" t="n">
        <v>0.494980750808828</v>
      </c>
      <c r="K27" s="260" t="n">
        <f aca="false">+K20/K25</f>
        <v>0.789068804990869</v>
      </c>
    </row>
    <row r="28" customFormat="false" ht="15" hidden="false" customHeight="false" outlineLevel="0" collapsed="false">
      <c r="J28" s="2"/>
      <c r="K28" s="2"/>
    </row>
    <row r="29" customFormat="false" ht="15" hidden="false" customHeight="false" outlineLevel="0" collapsed="false">
      <c r="A29" s="4" t="s">
        <v>421</v>
      </c>
      <c r="J29" s="2"/>
      <c r="K29" s="2"/>
    </row>
    <row r="30" customFormat="false" ht="15" hidden="false" customHeight="false" outlineLevel="0" collapsed="false">
      <c r="J30" s="2"/>
      <c r="K30" s="2"/>
    </row>
    <row r="31" customFormat="false" ht="15" hidden="false" customHeight="false" outlineLevel="0" collapsed="false">
      <c r="B31" s="0" t="s">
        <v>422</v>
      </c>
      <c r="F31" s="33" t="n">
        <f aca="false">+F23</f>
        <v>4374830</v>
      </c>
      <c r="G31" s="33" t="n">
        <f aca="false">+G23</f>
        <v>7593103</v>
      </c>
      <c r="H31" s="33" t="n">
        <f aca="false">+H23</f>
        <v>27144668</v>
      </c>
      <c r="I31" s="33" t="n">
        <v>35009000</v>
      </c>
      <c r="J31" s="2" t="n">
        <v>27571049</v>
      </c>
      <c r="K31" s="2" t="n">
        <v>24027809</v>
      </c>
    </row>
    <row r="32" customFormat="false" ht="15" hidden="false" customHeight="false" outlineLevel="0" collapsed="false">
      <c r="B32" s="0" t="s">
        <v>412</v>
      </c>
      <c r="F32" s="33" t="n">
        <f aca="false">+F12</f>
        <v>85077740</v>
      </c>
      <c r="G32" s="33" t="n">
        <f aca="false">+G12</f>
        <v>64634957</v>
      </c>
      <c r="H32" s="33" t="n">
        <f aca="false">+H12</f>
        <v>38660488</v>
      </c>
      <c r="I32" s="33" t="n">
        <v>28079574</v>
      </c>
      <c r="J32" s="2" t="n">
        <v>33511320</v>
      </c>
      <c r="K32" s="2" t="n">
        <v>46370892</v>
      </c>
    </row>
    <row r="33" customFormat="false" ht="15" hidden="false" customHeight="false" outlineLevel="0" collapsed="false">
      <c r="B33" s="0" t="s">
        <v>423</v>
      </c>
      <c r="F33" s="260" t="n">
        <f aca="false">+F31/F32</f>
        <v>0.0514215586826824</v>
      </c>
      <c r="G33" s="260" t="n">
        <f aca="false">+G31/G32</f>
        <v>0.117476723934387</v>
      </c>
      <c r="H33" s="260" t="n">
        <f aca="false">+H31/H32</f>
        <v>0.702129471309312</v>
      </c>
      <c r="I33" s="260" t="n">
        <f aca="false">+I31/I32</f>
        <v>1.24677817405634</v>
      </c>
      <c r="J33" s="260" t="n">
        <v>0.822738376166621</v>
      </c>
      <c r="K33" s="260" t="n">
        <f aca="false">+K31/K32</f>
        <v>0.518165770889203</v>
      </c>
    </row>
    <row r="34" customFormat="false" ht="15" hidden="false" customHeight="false" outlineLevel="0" collapsed="false">
      <c r="J34" s="2"/>
      <c r="K34" s="2"/>
    </row>
    <row r="35" customFormat="false" ht="15" hidden="false" customHeight="false" outlineLevel="0" collapsed="false">
      <c r="J35" s="2"/>
      <c r="K35" s="2"/>
    </row>
    <row r="38" customFormat="false" ht="15" hidden="false" customHeight="false" outlineLevel="0" collapsed="false">
      <c r="D38" s="7" t="s">
        <v>77</v>
      </c>
      <c r="E38" s="52"/>
      <c r="F38" s="52"/>
      <c r="G38" s="52"/>
      <c r="H38" s="52"/>
      <c r="I38" s="46"/>
    </row>
    <row r="39" customFormat="false" ht="15" hidden="false" customHeight="false" outlineLevel="0" collapsed="false">
      <c r="D39" s="2" t="s">
        <v>78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2016-11-10T22:26:48Z</dcterms:created>
  <dc:creator>CALMEIDA</dc:creator>
  <dc:description/>
  <dc:language>es-EC</dc:language>
  <cp:lastModifiedBy/>
  <cp:lastPrinted>2018-05-30T22:27:06Z</cp:lastPrinted>
  <dcterms:modified xsi:type="dcterms:W3CDTF">2021-04-21T15:57:43Z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